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threadedComments/threadedComment2.xml" ContentType="application/vnd.ms-excel.threaded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threadedComments/threadedComment3.xml" ContentType="application/vnd.ms-excel.threadedcomments+xml"/>
  <Override PartName="/xl/comments10.xml" ContentType="application/vnd.openxmlformats-officedocument.spreadsheetml.comments+xml"/>
  <Override PartName="/xl/threadedComments/threadedComment4.xml" ContentType="application/vnd.ms-excel.threadedcomments+xml"/>
  <Override PartName="/xl/comments11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ndrus.jogi\Desktop\"/>
    </mc:Choice>
  </mc:AlternateContent>
  <xr:revisionPtr revIDLastSave="0" documentId="13_ncr:1_{77660F8D-C4A7-4E54-99F2-8E968A32E13B}" xr6:coauthVersionLast="47" xr6:coauthVersionMax="47" xr10:uidLastSave="{00000000-0000-0000-0000-000000000000}"/>
  <bookViews>
    <workbookView xWindow="-108" yWindow="-108" windowWidth="30936" windowHeight="16896" firstSheet="6" activeTab="13" xr2:uid="{00000000-000D-0000-FFFF-FFFF00000000}"/>
  </bookViews>
  <sheets>
    <sheet name="Üldharidus" sheetId="22" r:id="rId1"/>
    <sheet name="Huvitegevus" sheetId="19" r:id="rId2"/>
    <sheet name="Lasteaed" sheetId="20" r:id="rId3"/>
    <sheet name="Toimetulekutoetus" sheetId="10" r:id="rId4"/>
    <sheet name="Asendushooldus" sheetId="7" r:id="rId5"/>
    <sheet name="Matusetoetus" sheetId="8" r:id="rId6"/>
    <sheet name="Abivajadusega lapsed" sheetId="18" r:id="rId7"/>
    <sheet name="Pikaajaline hooldus" sheetId="27" r:id="rId8"/>
    <sheet name="Rahvastikutoimingud" sheetId="24" r:id="rId9"/>
    <sheet name="Kohalikud teed" sheetId="26" r:id="rId10"/>
    <sheet name="Üleantud teed" sheetId="25" r:id="rId11"/>
    <sheet name="Energiatoetus" sheetId="28" r:id="rId12"/>
    <sheet name="Tasandusfond" sheetId="3" r:id="rId13"/>
    <sheet name="KOOND" sheetId="14" r:id="rId14"/>
    <sheet name="lisa" sheetId="29" r:id="rId15"/>
    <sheet name="ühinemine" sheetId="11" state="hidden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29" l="1"/>
  <c r="L80" i="29"/>
  <c r="K80" i="29"/>
  <c r="J80" i="29"/>
  <c r="I80" i="29"/>
  <c r="H80" i="29"/>
  <c r="G80" i="29"/>
  <c r="F80" i="29"/>
  <c r="E80" i="29"/>
  <c r="D80" i="29"/>
  <c r="C80" i="29"/>
  <c r="M79" i="29"/>
  <c r="L79" i="29"/>
  <c r="K79" i="29"/>
  <c r="J79" i="29"/>
  <c r="I79" i="29"/>
  <c r="H79" i="29"/>
  <c r="G79" i="29"/>
  <c r="F79" i="29"/>
  <c r="E79" i="29"/>
  <c r="D79" i="29"/>
  <c r="C79" i="29"/>
  <c r="M78" i="29"/>
  <c r="L78" i="29"/>
  <c r="K78" i="29"/>
  <c r="J78" i="29"/>
  <c r="I78" i="29"/>
  <c r="H78" i="29"/>
  <c r="G78" i="29"/>
  <c r="F78" i="29"/>
  <c r="E78" i="29"/>
  <c r="D78" i="29"/>
  <c r="C78" i="29"/>
  <c r="M77" i="29"/>
  <c r="L77" i="29"/>
  <c r="K77" i="29"/>
  <c r="J77" i="29"/>
  <c r="I77" i="29"/>
  <c r="H77" i="29"/>
  <c r="G77" i="29"/>
  <c r="F77" i="29"/>
  <c r="E77" i="29"/>
  <c r="D77" i="29"/>
  <c r="C77" i="29"/>
  <c r="M76" i="29"/>
  <c r="L76" i="29"/>
  <c r="K76" i="29"/>
  <c r="J76" i="29"/>
  <c r="I76" i="29"/>
  <c r="H76" i="29"/>
  <c r="G76" i="29"/>
  <c r="F76" i="29"/>
  <c r="E76" i="29"/>
  <c r="D76" i="29"/>
  <c r="C76" i="29"/>
  <c r="O76" i="29" s="1"/>
  <c r="M75" i="29"/>
  <c r="L75" i="29"/>
  <c r="K75" i="29"/>
  <c r="J75" i="29"/>
  <c r="I75" i="29"/>
  <c r="H75" i="29"/>
  <c r="G75" i="29"/>
  <c r="F75" i="29"/>
  <c r="E75" i="29"/>
  <c r="D75" i="29"/>
  <c r="C75" i="29"/>
  <c r="M74" i="29"/>
  <c r="L74" i="29"/>
  <c r="K74" i="29"/>
  <c r="J74" i="29"/>
  <c r="I74" i="29"/>
  <c r="H74" i="29"/>
  <c r="G74" i="29"/>
  <c r="F74" i="29"/>
  <c r="E74" i="29"/>
  <c r="D74" i="29"/>
  <c r="C74" i="29"/>
  <c r="M73" i="29"/>
  <c r="L73" i="29"/>
  <c r="K73" i="29"/>
  <c r="J73" i="29"/>
  <c r="I73" i="29"/>
  <c r="H73" i="29"/>
  <c r="G73" i="29"/>
  <c r="F73" i="29"/>
  <c r="E73" i="29"/>
  <c r="D73" i="29"/>
  <c r="C73" i="29"/>
  <c r="M72" i="29"/>
  <c r="L72" i="29"/>
  <c r="K72" i="29"/>
  <c r="J72" i="29"/>
  <c r="I72" i="29"/>
  <c r="H72" i="29"/>
  <c r="G72" i="29"/>
  <c r="F72" i="29"/>
  <c r="E72" i="29"/>
  <c r="D72" i="29"/>
  <c r="C72" i="29"/>
  <c r="M71" i="29"/>
  <c r="L71" i="29"/>
  <c r="K71" i="29"/>
  <c r="J71" i="29"/>
  <c r="I71" i="29"/>
  <c r="H71" i="29"/>
  <c r="G71" i="29"/>
  <c r="F71" i="29"/>
  <c r="E71" i="29"/>
  <c r="D71" i="29"/>
  <c r="C71" i="29"/>
  <c r="M70" i="29"/>
  <c r="L70" i="29"/>
  <c r="K70" i="29"/>
  <c r="J70" i="29"/>
  <c r="I70" i="29"/>
  <c r="H70" i="29"/>
  <c r="G70" i="29"/>
  <c r="F70" i="29"/>
  <c r="E70" i="29"/>
  <c r="D70" i="29"/>
  <c r="C70" i="29"/>
  <c r="M69" i="29"/>
  <c r="L69" i="29"/>
  <c r="K69" i="29"/>
  <c r="J69" i="29"/>
  <c r="I69" i="29"/>
  <c r="H69" i="29"/>
  <c r="G69" i="29"/>
  <c r="F69" i="29"/>
  <c r="E69" i="29"/>
  <c r="D69" i="29"/>
  <c r="C69" i="29"/>
  <c r="M68" i="29"/>
  <c r="L68" i="29"/>
  <c r="K68" i="29"/>
  <c r="J68" i="29"/>
  <c r="I68" i="29"/>
  <c r="H68" i="29"/>
  <c r="G68" i="29"/>
  <c r="F68" i="29"/>
  <c r="E68" i="29"/>
  <c r="D68" i="29"/>
  <c r="C68" i="29"/>
  <c r="O68" i="29" s="1"/>
  <c r="M67" i="29"/>
  <c r="L67" i="29"/>
  <c r="K67" i="29"/>
  <c r="J67" i="29"/>
  <c r="I67" i="29"/>
  <c r="H67" i="29"/>
  <c r="G67" i="29"/>
  <c r="F67" i="29"/>
  <c r="E67" i="29"/>
  <c r="D67" i="29"/>
  <c r="C67" i="29"/>
  <c r="M66" i="29"/>
  <c r="L66" i="29"/>
  <c r="K66" i="29"/>
  <c r="J66" i="29"/>
  <c r="I66" i="29"/>
  <c r="H66" i="29"/>
  <c r="G66" i="29"/>
  <c r="F66" i="29"/>
  <c r="E66" i="29"/>
  <c r="D66" i="29"/>
  <c r="C66" i="29"/>
  <c r="M65" i="29"/>
  <c r="L65" i="29"/>
  <c r="K65" i="29"/>
  <c r="J65" i="29"/>
  <c r="I65" i="29"/>
  <c r="H65" i="29"/>
  <c r="G65" i="29"/>
  <c r="F65" i="29"/>
  <c r="E65" i="29"/>
  <c r="D65" i="29"/>
  <c r="C65" i="29"/>
  <c r="M64" i="29"/>
  <c r="L64" i="29"/>
  <c r="K64" i="29"/>
  <c r="J64" i="29"/>
  <c r="I64" i="29"/>
  <c r="H64" i="29"/>
  <c r="G64" i="29"/>
  <c r="F64" i="29"/>
  <c r="E64" i="29"/>
  <c r="D64" i="29"/>
  <c r="C64" i="29"/>
  <c r="M63" i="29"/>
  <c r="L63" i="29"/>
  <c r="K63" i="29"/>
  <c r="J63" i="29"/>
  <c r="I63" i="29"/>
  <c r="H63" i="29"/>
  <c r="G63" i="29"/>
  <c r="F63" i="29"/>
  <c r="E63" i="29"/>
  <c r="D63" i="29"/>
  <c r="C63" i="29"/>
  <c r="M62" i="29"/>
  <c r="L62" i="29"/>
  <c r="K62" i="29"/>
  <c r="J62" i="29"/>
  <c r="I62" i="29"/>
  <c r="H62" i="29"/>
  <c r="G62" i="29"/>
  <c r="F62" i="29"/>
  <c r="E62" i="29"/>
  <c r="D62" i="29"/>
  <c r="C62" i="29"/>
  <c r="M61" i="29"/>
  <c r="L61" i="29"/>
  <c r="K61" i="29"/>
  <c r="J61" i="29"/>
  <c r="I61" i="29"/>
  <c r="H61" i="29"/>
  <c r="G61" i="29"/>
  <c r="F61" i="29"/>
  <c r="E61" i="29"/>
  <c r="D61" i="29"/>
  <c r="C61" i="29"/>
  <c r="M60" i="29"/>
  <c r="L60" i="29"/>
  <c r="K60" i="29"/>
  <c r="J60" i="29"/>
  <c r="I60" i="29"/>
  <c r="H60" i="29"/>
  <c r="G60" i="29"/>
  <c r="F60" i="29"/>
  <c r="E60" i="29"/>
  <c r="D60" i="29"/>
  <c r="C60" i="29"/>
  <c r="O60" i="29" s="1"/>
  <c r="M59" i="29"/>
  <c r="L59" i="29"/>
  <c r="K59" i="29"/>
  <c r="J59" i="29"/>
  <c r="I59" i="29"/>
  <c r="H59" i="29"/>
  <c r="G59" i="29"/>
  <c r="F59" i="29"/>
  <c r="E59" i="29"/>
  <c r="D59" i="29"/>
  <c r="C59" i="29"/>
  <c r="M58" i="29"/>
  <c r="L58" i="29"/>
  <c r="K58" i="29"/>
  <c r="J58" i="29"/>
  <c r="I58" i="29"/>
  <c r="H58" i="29"/>
  <c r="G58" i="29"/>
  <c r="F58" i="29"/>
  <c r="E58" i="29"/>
  <c r="D58" i="29"/>
  <c r="C58" i="29"/>
  <c r="M57" i="29"/>
  <c r="L57" i="29"/>
  <c r="K57" i="29"/>
  <c r="J57" i="29"/>
  <c r="I57" i="29"/>
  <c r="H57" i="29"/>
  <c r="G57" i="29"/>
  <c r="F57" i="29"/>
  <c r="E57" i="29"/>
  <c r="D57" i="29"/>
  <c r="C57" i="29"/>
  <c r="M56" i="29"/>
  <c r="L56" i="29"/>
  <c r="K56" i="29"/>
  <c r="J56" i="29"/>
  <c r="I56" i="29"/>
  <c r="H56" i="29"/>
  <c r="G56" i="29"/>
  <c r="F56" i="29"/>
  <c r="E56" i="29"/>
  <c r="D56" i="29"/>
  <c r="C56" i="29"/>
  <c r="M55" i="29"/>
  <c r="L55" i="29"/>
  <c r="K55" i="29"/>
  <c r="J55" i="29"/>
  <c r="I55" i="29"/>
  <c r="H55" i="29"/>
  <c r="G55" i="29"/>
  <c r="F55" i="29"/>
  <c r="E55" i="29"/>
  <c r="D55" i="29"/>
  <c r="C55" i="29"/>
  <c r="M54" i="29"/>
  <c r="L54" i="29"/>
  <c r="K54" i="29"/>
  <c r="J54" i="29"/>
  <c r="I54" i="29"/>
  <c r="H54" i="29"/>
  <c r="G54" i="29"/>
  <c r="F54" i="29"/>
  <c r="E54" i="29"/>
  <c r="D54" i="29"/>
  <c r="C54" i="29"/>
  <c r="N53" i="29"/>
  <c r="M53" i="29"/>
  <c r="L53" i="29"/>
  <c r="K53" i="29"/>
  <c r="J53" i="29"/>
  <c r="I53" i="29"/>
  <c r="H53" i="29"/>
  <c r="G53" i="29"/>
  <c r="F53" i="29"/>
  <c r="E53" i="29"/>
  <c r="D53" i="29"/>
  <c r="C53" i="29"/>
  <c r="M52" i="29"/>
  <c r="L52" i="29"/>
  <c r="K52" i="29"/>
  <c r="J52" i="29"/>
  <c r="I52" i="29"/>
  <c r="H52" i="29"/>
  <c r="G52" i="29"/>
  <c r="F52" i="29"/>
  <c r="E52" i="29"/>
  <c r="D52" i="29"/>
  <c r="C52" i="29"/>
  <c r="M51" i="29"/>
  <c r="L51" i="29"/>
  <c r="K51" i="29"/>
  <c r="J51" i="29"/>
  <c r="I51" i="29"/>
  <c r="H51" i="29"/>
  <c r="G51" i="29"/>
  <c r="F51" i="29"/>
  <c r="E51" i="29"/>
  <c r="D51" i="29"/>
  <c r="C51" i="29"/>
  <c r="M50" i="29"/>
  <c r="L50" i="29"/>
  <c r="K50" i="29"/>
  <c r="J50" i="29"/>
  <c r="I50" i="29"/>
  <c r="H50" i="29"/>
  <c r="G50" i="29"/>
  <c r="F50" i="29"/>
  <c r="E50" i="29"/>
  <c r="D50" i="29"/>
  <c r="C50" i="29"/>
  <c r="M49" i="29"/>
  <c r="L49" i="29"/>
  <c r="K49" i="29"/>
  <c r="J49" i="29"/>
  <c r="I49" i="29"/>
  <c r="H49" i="29"/>
  <c r="G49" i="29"/>
  <c r="F49" i="29"/>
  <c r="E49" i="29"/>
  <c r="D49" i="29"/>
  <c r="C49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M47" i="29"/>
  <c r="L47" i="29"/>
  <c r="K47" i="29"/>
  <c r="J47" i="29"/>
  <c r="I47" i="29"/>
  <c r="H47" i="29"/>
  <c r="G47" i="29"/>
  <c r="F47" i="29"/>
  <c r="E47" i="29"/>
  <c r="D47" i="29"/>
  <c r="C47" i="29"/>
  <c r="M46" i="29"/>
  <c r="L46" i="29"/>
  <c r="K46" i="29"/>
  <c r="J46" i="29"/>
  <c r="I46" i="29"/>
  <c r="H46" i="29"/>
  <c r="G46" i="29"/>
  <c r="F46" i="29"/>
  <c r="E46" i="29"/>
  <c r="D46" i="29"/>
  <c r="C46" i="29"/>
  <c r="M45" i="29"/>
  <c r="L45" i="29"/>
  <c r="K45" i="29"/>
  <c r="J45" i="29"/>
  <c r="I45" i="29"/>
  <c r="H45" i="29"/>
  <c r="G45" i="29"/>
  <c r="F45" i="29"/>
  <c r="E45" i="29"/>
  <c r="D45" i="29"/>
  <c r="C45" i="29"/>
  <c r="M44" i="29"/>
  <c r="L44" i="29"/>
  <c r="K44" i="29"/>
  <c r="J44" i="29"/>
  <c r="I44" i="29"/>
  <c r="H44" i="29"/>
  <c r="G44" i="29"/>
  <c r="F44" i="29"/>
  <c r="E44" i="29"/>
  <c r="D44" i="29"/>
  <c r="C44" i="29"/>
  <c r="M43" i="29"/>
  <c r="L43" i="29"/>
  <c r="K43" i="29"/>
  <c r="J43" i="29"/>
  <c r="I43" i="29"/>
  <c r="H43" i="29"/>
  <c r="G43" i="29"/>
  <c r="F43" i="29"/>
  <c r="E43" i="29"/>
  <c r="D43" i="29"/>
  <c r="C43" i="29"/>
  <c r="M42" i="29"/>
  <c r="L42" i="29"/>
  <c r="K42" i="29"/>
  <c r="J42" i="29"/>
  <c r="I42" i="29"/>
  <c r="H42" i="29"/>
  <c r="G42" i="29"/>
  <c r="F42" i="29"/>
  <c r="E42" i="29"/>
  <c r="D42" i="29"/>
  <c r="C42" i="29"/>
  <c r="M41" i="29"/>
  <c r="L41" i="29"/>
  <c r="K41" i="29"/>
  <c r="J41" i="29"/>
  <c r="I41" i="29"/>
  <c r="H41" i="29"/>
  <c r="G41" i="29"/>
  <c r="F41" i="29"/>
  <c r="E41" i="29"/>
  <c r="D41" i="29"/>
  <c r="C41" i="29"/>
  <c r="M40" i="29"/>
  <c r="L40" i="29"/>
  <c r="K40" i="29"/>
  <c r="J40" i="29"/>
  <c r="I40" i="29"/>
  <c r="H40" i="29"/>
  <c r="G40" i="29"/>
  <c r="F40" i="29"/>
  <c r="E40" i="29"/>
  <c r="D40" i="29"/>
  <c r="C40" i="29"/>
  <c r="M39" i="29"/>
  <c r="L39" i="29"/>
  <c r="K39" i="29"/>
  <c r="J39" i="29"/>
  <c r="I39" i="29"/>
  <c r="H39" i="29"/>
  <c r="G39" i="29"/>
  <c r="F39" i="29"/>
  <c r="E39" i="29"/>
  <c r="D39" i="29"/>
  <c r="C39" i="29"/>
  <c r="M38" i="29"/>
  <c r="L38" i="29"/>
  <c r="K38" i="29"/>
  <c r="J38" i="29"/>
  <c r="I38" i="29"/>
  <c r="H38" i="29"/>
  <c r="G38" i="29"/>
  <c r="F38" i="29"/>
  <c r="E38" i="29"/>
  <c r="D38" i="29"/>
  <c r="C38" i="29"/>
  <c r="M37" i="29"/>
  <c r="L37" i="29"/>
  <c r="K37" i="29"/>
  <c r="J37" i="29"/>
  <c r="I37" i="29"/>
  <c r="H37" i="29"/>
  <c r="G37" i="29"/>
  <c r="F37" i="29"/>
  <c r="E37" i="29"/>
  <c r="D37" i="29"/>
  <c r="C37" i="29"/>
  <c r="M36" i="29"/>
  <c r="L36" i="29"/>
  <c r="K36" i="29"/>
  <c r="J36" i="29"/>
  <c r="I36" i="29"/>
  <c r="H36" i="29"/>
  <c r="G36" i="29"/>
  <c r="F36" i="29"/>
  <c r="E36" i="29"/>
  <c r="D36" i="29"/>
  <c r="C36" i="29"/>
  <c r="M35" i="29"/>
  <c r="L35" i="29"/>
  <c r="K35" i="29"/>
  <c r="J35" i="29"/>
  <c r="I35" i="29"/>
  <c r="H35" i="29"/>
  <c r="G35" i="29"/>
  <c r="F35" i="29"/>
  <c r="E35" i="29"/>
  <c r="D35" i="29"/>
  <c r="C35" i="29"/>
  <c r="M34" i="29"/>
  <c r="L34" i="29"/>
  <c r="K34" i="29"/>
  <c r="J34" i="29"/>
  <c r="I34" i="29"/>
  <c r="H34" i="29"/>
  <c r="G34" i="29"/>
  <c r="F34" i="29"/>
  <c r="E34" i="29"/>
  <c r="D34" i="29"/>
  <c r="C34" i="29"/>
  <c r="M33" i="29"/>
  <c r="L33" i="29"/>
  <c r="K33" i="29"/>
  <c r="J33" i="29"/>
  <c r="I33" i="29"/>
  <c r="H33" i="29"/>
  <c r="G33" i="29"/>
  <c r="F33" i="29"/>
  <c r="E33" i="29"/>
  <c r="D33" i="29"/>
  <c r="C33" i="29"/>
  <c r="M32" i="29"/>
  <c r="L32" i="29"/>
  <c r="K32" i="29"/>
  <c r="J32" i="29"/>
  <c r="I32" i="29"/>
  <c r="H32" i="29"/>
  <c r="G32" i="29"/>
  <c r="F32" i="29"/>
  <c r="E32" i="29"/>
  <c r="D32" i="29"/>
  <c r="C32" i="29"/>
  <c r="M31" i="29"/>
  <c r="L31" i="29"/>
  <c r="K31" i="29"/>
  <c r="J31" i="29"/>
  <c r="I31" i="29"/>
  <c r="H31" i="29"/>
  <c r="G31" i="29"/>
  <c r="F31" i="29"/>
  <c r="E31" i="29"/>
  <c r="D31" i="29"/>
  <c r="C31" i="29"/>
  <c r="M30" i="29"/>
  <c r="L30" i="29"/>
  <c r="K30" i="29"/>
  <c r="J30" i="29"/>
  <c r="I30" i="29"/>
  <c r="H30" i="29"/>
  <c r="G30" i="29"/>
  <c r="F30" i="29"/>
  <c r="E30" i="29"/>
  <c r="D30" i="29"/>
  <c r="C30" i="29"/>
  <c r="M29" i="29"/>
  <c r="L29" i="29"/>
  <c r="K29" i="29"/>
  <c r="J29" i="29"/>
  <c r="I29" i="29"/>
  <c r="H29" i="29"/>
  <c r="G29" i="29"/>
  <c r="F29" i="29"/>
  <c r="E29" i="29"/>
  <c r="D29" i="29"/>
  <c r="C29" i="29"/>
  <c r="M28" i="29"/>
  <c r="L28" i="29"/>
  <c r="K28" i="29"/>
  <c r="J28" i="29"/>
  <c r="I28" i="29"/>
  <c r="H28" i="29"/>
  <c r="G28" i="29"/>
  <c r="F28" i="29"/>
  <c r="E28" i="29"/>
  <c r="D28" i="29"/>
  <c r="C28" i="29"/>
  <c r="M27" i="29"/>
  <c r="L27" i="29"/>
  <c r="K27" i="29"/>
  <c r="J27" i="29"/>
  <c r="I27" i="29"/>
  <c r="H27" i="29"/>
  <c r="G27" i="29"/>
  <c r="F27" i="29"/>
  <c r="E27" i="29"/>
  <c r="D27" i="29"/>
  <c r="C27" i="29"/>
  <c r="M26" i="29"/>
  <c r="L26" i="29"/>
  <c r="K26" i="29"/>
  <c r="J26" i="29"/>
  <c r="I26" i="29"/>
  <c r="H26" i="29"/>
  <c r="G26" i="29"/>
  <c r="F26" i="29"/>
  <c r="E26" i="29"/>
  <c r="D26" i="29"/>
  <c r="C26" i="29"/>
  <c r="M25" i="29"/>
  <c r="L25" i="29"/>
  <c r="K25" i="29"/>
  <c r="J25" i="29"/>
  <c r="I25" i="29"/>
  <c r="H25" i="29"/>
  <c r="G25" i="29"/>
  <c r="F25" i="29"/>
  <c r="E25" i="29"/>
  <c r="D25" i="29"/>
  <c r="C25" i="29"/>
  <c r="M24" i="29"/>
  <c r="L24" i="29"/>
  <c r="K24" i="29"/>
  <c r="J24" i="29"/>
  <c r="I24" i="29"/>
  <c r="H24" i="29"/>
  <c r="G24" i="29"/>
  <c r="F24" i="29"/>
  <c r="E24" i="29"/>
  <c r="D24" i="29"/>
  <c r="C24" i="29"/>
  <c r="M23" i="29"/>
  <c r="L23" i="29"/>
  <c r="K23" i="29"/>
  <c r="J23" i="29"/>
  <c r="I23" i="29"/>
  <c r="H23" i="29"/>
  <c r="G23" i="29"/>
  <c r="F23" i="29"/>
  <c r="E23" i="29"/>
  <c r="D23" i="29"/>
  <c r="C23" i="29"/>
  <c r="M22" i="29"/>
  <c r="L22" i="29"/>
  <c r="K22" i="29"/>
  <c r="J22" i="29"/>
  <c r="I22" i="29"/>
  <c r="H22" i="29"/>
  <c r="G22" i="29"/>
  <c r="F22" i="29"/>
  <c r="E22" i="29"/>
  <c r="D22" i="29"/>
  <c r="C22" i="29"/>
  <c r="M21" i="29"/>
  <c r="L21" i="29"/>
  <c r="K21" i="29"/>
  <c r="J21" i="29"/>
  <c r="I21" i="29"/>
  <c r="H21" i="29"/>
  <c r="G21" i="29"/>
  <c r="F21" i="29"/>
  <c r="E21" i="29"/>
  <c r="D21" i="29"/>
  <c r="C21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M18" i="29"/>
  <c r="L18" i="29"/>
  <c r="K18" i="29"/>
  <c r="J18" i="29"/>
  <c r="I18" i="29"/>
  <c r="H18" i="29"/>
  <c r="G18" i="29"/>
  <c r="F18" i="29"/>
  <c r="E18" i="29"/>
  <c r="D18" i="29"/>
  <c r="C18" i="29"/>
  <c r="N17" i="29"/>
  <c r="M17" i="29"/>
  <c r="L17" i="29"/>
  <c r="K17" i="29"/>
  <c r="J17" i="29"/>
  <c r="I17" i="29"/>
  <c r="H17" i="29"/>
  <c r="G17" i="29"/>
  <c r="F17" i="29"/>
  <c r="E17" i="29"/>
  <c r="D17" i="29"/>
  <c r="C17" i="29"/>
  <c r="M16" i="29"/>
  <c r="L16" i="29"/>
  <c r="K16" i="29"/>
  <c r="J16" i="29"/>
  <c r="I16" i="29"/>
  <c r="H16" i="29"/>
  <c r="G16" i="29"/>
  <c r="F16" i="29"/>
  <c r="E16" i="29"/>
  <c r="D16" i="29"/>
  <c r="C16" i="29"/>
  <c r="O16" i="29" s="1"/>
  <c r="M15" i="29"/>
  <c r="L15" i="29"/>
  <c r="K15" i="29"/>
  <c r="J15" i="29"/>
  <c r="I15" i="29"/>
  <c r="H15" i="29"/>
  <c r="G15" i="29"/>
  <c r="F15" i="29"/>
  <c r="E15" i="29"/>
  <c r="D15" i="29"/>
  <c r="C15" i="29"/>
  <c r="M14" i="29"/>
  <c r="L14" i="29"/>
  <c r="K14" i="29"/>
  <c r="J14" i="29"/>
  <c r="I14" i="29"/>
  <c r="H14" i="29"/>
  <c r="G14" i="29"/>
  <c r="F14" i="29"/>
  <c r="E14" i="29"/>
  <c r="D14" i="29"/>
  <c r="C14" i="29"/>
  <c r="M13" i="29"/>
  <c r="L13" i="29"/>
  <c r="K13" i="29"/>
  <c r="J13" i="29"/>
  <c r="I13" i="29"/>
  <c r="H13" i="29"/>
  <c r="G13" i="29"/>
  <c r="F13" i="29"/>
  <c r="E13" i="29"/>
  <c r="D13" i="29"/>
  <c r="C13" i="29"/>
  <c r="M12" i="29"/>
  <c r="L12" i="29"/>
  <c r="K12" i="29"/>
  <c r="J12" i="29"/>
  <c r="I12" i="29"/>
  <c r="H12" i="29"/>
  <c r="G12" i="29"/>
  <c r="F12" i="29"/>
  <c r="E12" i="29"/>
  <c r="D12" i="29"/>
  <c r="C12" i="29"/>
  <c r="M11" i="29"/>
  <c r="L11" i="29"/>
  <c r="K11" i="29"/>
  <c r="J11" i="29"/>
  <c r="I11" i="29"/>
  <c r="H11" i="29"/>
  <c r="G11" i="29"/>
  <c r="F11" i="29"/>
  <c r="E11" i="29"/>
  <c r="D11" i="29"/>
  <c r="C11" i="29"/>
  <c r="M10" i="29"/>
  <c r="L10" i="29"/>
  <c r="K10" i="29"/>
  <c r="J10" i="29"/>
  <c r="I10" i="29"/>
  <c r="H10" i="29"/>
  <c r="G10" i="29"/>
  <c r="F10" i="29"/>
  <c r="E10" i="29"/>
  <c r="D10" i="29"/>
  <c r="C10" i="29"/>
  <c r="M9" i="29"/>
  <c r="L9" i="29"/>
  <c r="K9" i="29"/>
  <c r="J9" i="29"/>
  <c r="I9" i="29"/>
  <c r="H9" i="29"/>
  <c r="G9" i="29"/>
  <c r="F9" i="29"/>
  <c r="E9" i="29"/>
  <c r="D9" i="29"/>
  <c r="C9" i="29"/>
  <c r="M8" i="29"/>
  <c r="L8" i="29"/>
  <c r="K8" i="29"/>
  <c r="J8" i="29"/>
  <c r="I8" i="29"/>
  <c r="H8" i="29"/>
  <c r="G8" i="29"/>
  <c r="F8" i="29"/>
  <c r="E8" i="29"/>
  <c r="D8" i="29"/>
  <c r="C8" i="29"/>
  <c r="O8" i="29" s="1"/>
  <c r="M7" i="29"/>
  <c r="L7" i="29"/>
  <c r="K7" i="29"/>
  <c r="J7" i="29"/>
  <c r="I7" i="29"/>
  <c r="H7" i="29"/>
  <c r="G7" i="29"/>
  <c r="F7" i="29"/>
  <c r="E7" i="29"/>
  <c r="D7" i="29"/>
  <c r="C7" i="29"/>
  <c r="M6" i="29"/>
  <c r="L6" i="29"/>
  <c r="K6" i="29"/>
  <c r="J6" i="29"/>
  <c r="I6" i="29"/>
  <c r="H6" i="29"/>
  <c r="G6" i="29"/>
  <c r="F6" i="29"/>
  <c r="E6" i="29"/>
  <c r="D6" i="29"/>
  <c r="C6" i="29"/>
  <c r="M5" i="29"/>
  <c r="L5" i="29"/>
  <c r="K5" i="29"/>
  <c r="J5" i="29"/>
  <c r="I5" i="29"/>
  <c r="H5" i="29"/>
  <c r="G5" i="29"/>
  <c r="F5" i="29"/>
  <c r="E5" i="29"/>
  <c r="D5" i="29"/>
  <c r="C5" i="29"/>
  <c r="M4" i="29"/>
  <c r="L4" i="29"/>
  <c r="K4" i="29"/>
  <c r="J4" i="29"/>
  <c r="I4" i="29"/>
  <c r="H4" i="29"/>
  <c r="G4" i="29"/>
  <c r="F4" i="29"/>
  <c r="E4" i="29"/>
  <c r="D4" i="29"/>
  <c r="C4" i="29"/>
  <c r="M3" i="29"/>
  <c r="L3" i="29"/>
  <c r="K3" i="29"/>
  <c r="J3" i="29"/>
  <c r="I3" i="29"/>
  <c r="H3" i="29"/>
  <c r="G3" i="29"/>
  <c r="F3" i="29"/>
  <c r="E3" i="29"/>
  <c r="D3" i="29"/>
  <c r="C3" i="29"/>
  <c r="N2" i="29"/>
  <c r="M2" i="29"/>
  <c r="L2" i="29"/>
  <c r="K2" i="29"/>
  <c r="J2" i="29"/>
  <c r="I2" i="29"/>
  <c r="H2" i="29"/>
  <c r="G2" i="29"/>
  <c r="F2" i="29"/>
  <c r="E2" i="29"/>
  <c r="D2" i="29"/>
  <c r="C2" i="29"/>
  <c r="Z79" i="14"/>
  <c r="Z83" i="14" s="1"/>
  <c r="Y52" i="14"/>
  <c r="AA52" i="14" s="1"/>
  <c r="Y53" i="14"/>
  <c r="AA53" i="14" s="1"/>
  <c r="Y54" i="14"/>
  <c r="Y51" i="14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4" i="7"/>
  <c r="M82" i="7"/>
  <c r="N82" i="7" s="1"/>
  <c r="M81" i="7"/>
  <c r="N81" i="7" s="1"/>
  <c r="M80" i="7"/>
  <c r="N80" i="7" s="1"/>
  <c r="M79" i="7"/>
  <c r="N79" i="7" s="1"/>
  <c r="M78" i="7"/>
  <c r="N78" i="7" s="1"/>
  <c r="M77" i="7"/>
  <c r="N77" i="7" s="1"/>
  <c r="M76" i="7"/>
  <c r="N76" i="7" s="1"/>
  <c r="M75" i="7"/>
  <c r="N75" i="7" s="1"/>
  <c r="M74" i="7"/>
  <c r="N74" i="7" s="1"/>
  <c r="M73" i="7"/>
  <c r="N73" i="7" s="1"/>
  <c r="M72" i="7"/>
  <c r="N72" i="7" s="1"/>
  <c r="M71" i="7"/>
  <c r="N71" i="7" s="1"/>
  <c r="M70" i="7"/>
  <c r="N70" i="7" s="1"/>
  <c r="M69" i="7"/>
  <c r="N69" i="7" s="1"/>
  <c r="M68" i="7"/>
  <c r="N68" i="7" s="1"/>
  <c r="M67" i="7"/>
  <c r="N67" i="7" s="1"/>
  <c r="M66" i="7"/>
  <c r="N66" i="7" s="1"/>
  <c r="M65" i="7"/>
  <c r="N65" i="7" s="1"/>
  <c r="M64" i="7"/>
  <c r="N64" i="7" s="1"/>
  <c r="M63" i="7"/>
  <c r="N63" i="7" s="1"/>
  <c r="M62" i="7"/>
  <c r="N62" i="7" s="1"/>
  <c r="M61" i="7"/>
  <c r="N61" i="7" s="1"/>
  <c r="M60" i="7"/>
  <c r="N60" i="7" s="1"/>
  <c r="M59" i="7"/>
  <c r="N59" i="7" s="1"/>
  <c r="M58" i="7"/>
  <c r="N58" i="7" s="1"/>
  <c r="M57" i="7"/>
  <c r="N57" i="7" s="1"/>
  <c r="M56" i="7"/>
  <c r="N56" i="7" s="1"/>
  <c r="M55" i="7"/>
  <c r="N55" i="7" s="1"/>
  <c r="M54" i="7"/>
  <c r="N54" i="7" s="1"/>
  <c r="M53" i="7"/>
  <c r="N53" i="7" s="1"/>
  <c r="M52" i="7"/>
  <c r="N52" i="7" s="1"/>
  <c r="M51" i="7"/>
  <c r="N51" i="7" s="1"/>
  <c r="N50" i="7"/>
  <c r="M50" i="7"/>
  <c r="M49" i="7"/>
  <c r="N49" i="7" s="1"/>
  <c r="M48" i="7"/>
  <c r="N48" i="7" s="1"/>
  <c r="M47" i="7"/>
  <c r="N47" i="7" s="1"/>
  <c r="M46" i="7"/>
  <c r="N46" i="7" s="1"/>
  <c r="M45" i="7"/>
  <c r="N45" i="7" s="1"/>
  <c r="M44" i="7"/>
  <c r="N44" i="7" s="1"/>
  <c r="M43" i="7"/>
  <c r="N43" i="7" s="1"/>
  <c r="M42" i="7"/>
  <c r="N42" i="7" s="1"/>
  <c r="M41" i="7"/>
  <c r="N41" i="7" s="1"/>
  <c r="M40" i="7"/>
  <c r="N40" i="7" s="1"/>
  <c r="M39" i="7"/>
  <c r="N39" i="7" s="1"/>
  <c r="M38" i="7"/>
  <c r="N38" i="7" s="1"/>
  <c r="N37" i="7"/>
  <c r="M37" i="7"/>
  <c r="M36" i="7"/>
  <c r="N36" i="7" s="1"/>
  <c r="M35" i="7"/>
  <c r="N35" i="7" s="1"/>
  <c r="M34" i="7"/>
  <c r="N34" i="7" s="1"/>
  <c r="M33" i="7"/>
  <c r="N33" i="7" s="1"/>
  <c r="M32" i="7"/>
  <c r="N32" i="7" s="1"/>
  <c r="M31" i="7"/>
  <c r="N31" i="7" s="1"/>
  <c r="M30" i="7"/>
  <c r="N30" i="7" s="1"/>
  <c r="M29" i="7"/>
  <c r="N29" i="7" s="1"/>
  <c r="M28" i="7"/>
  <c r="N28" i="7" s="1"/>
  <c r="M27" i="7"/>
  <c r="N27" i="7" s="1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N20" i="7"/>
  <c r="M20" i="7"/>
  <c r="M19" i="7"/>
  <c r="N19" i="7" s="1"/>
  <c r="M18" i="7"/>
  <c r="N18" i="7" s="1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M10" i="7"/>
  <c r="N10" i="7" s="1"/>
  <c r="M9" i="7"/>
  <c r="N9" i="7" s="1"/>
  <c r="M8" i="7"/>
  <c r="N8" i="7" s="1"/>
  <c r="M7" i="7"/>
  <c r="N7" i="7" s="1"/>
  <c r="K83" i="7"/>
  <c r="M6" i="7"/>
  <c r="N6" i="7" s="1"/>
  <c r="M5" i="7"/>
  <c r="N5" i="7" s="1"/>
  <c r="L83" i="7"/>
  <c r="M4" i="7"/>
  <c r="I83" i="7"/>
  <c r="AA79" i="14"/>
  <c r="AA54" i="14"/>
  <c r="AB83" i="3"/>
  <c r="O2" i="29" l="1"/>
  <c r="O5" i="29"/>
  <c r="O9" i="29"/>
  <c r="O10" i="29"/>
  <c r="O13" i="29"/>
  <c r="O17" i="29"/>
  <c r="O18" i="29"/>
  <c r="O23" i="29"/>
  <c r="O25" i="29"/>
  <c r="O26" i="29"/>
  <c r="O31" i="29"/>
  <c r="O33" i="29"/>
  <c r="O34" i="29"/>
  <c r="O39" i="29"/>
  <c r="O41" i="29"/>
  <c r="O42" i="29"/>
  <c r="O47" i="29"/>
  <c r="O49" i="29"/>
  <c r="O50" i="29"/>
  <c r="O52" i="29"/>
  <c r="O57" i="29"/>
  <c r="O58" i="29"/>
  <c r="O65" i="29"/>
  <c r="O66" i="29"/>
  <c r="O73" i="29"/>
  <c r="O74" i="29"/>
  <c r="O3" i="29"/>
  <c r="O11" i="29"/>
  <c r="O21" i="29"/>
  <c r="O29" i="29"/>
  <c r="O37" i="29"/>
  <c r="O45" i="29"/>
  <c r="O55" i="29"/>
  <c r="O63" i="29"/>
  <c r="O71" i="29"/>
  <c r="O79" i="29"/>
  <c r="O6" i="29"/>
  <c r="O14" i="29"/>
  <c r="O19" i="29"/>
  <c r="O24" i="29"/>
  <c r="O32" i="29"/>
  <c r="O40" i="29"/>
  <c r="O48" i="29"/>
  <c r="O53" i="29"/>
  <c r="O27" i="29"/>
  <c r="O35" i="29"/>
  <c r="O43" i="29"/>
  <c r="O61" i="29"/>
  <c r="O69" i="29"/>
  <c r="O77" i="29"/>
  <c r="O4" i="29"/>
  <c r="O12" i="29"/>
  <c r="O22" i="29"/>
  <c r="O30" i="29"/>
  <c r="O38" i="29"/>
  <c r="O46" i="29"/>
  <c r="O51" i="29"/>
  <c r="O56" i="29"/>
  <c r="O64" i="29"/>
  <c r="O72" i="29"/>
  <c r="O80" i="29"/>
  <c r="O7" i="29"/>
  <c r="O15" i="29"/>
  <c r="O59" i="29"/>
  <c r="O67" i="29"/>
  <c r="O75" i="29"/>
  <c r="O20" i="29"/>
  <c r="O28" i="29"/>
  <c r="O36" i="29"/>
  <c r="O44" i="29"/>
  <c r="O54" i="29"/>
  <c r="O62" i="29"/>
  <c r="O70" i="29"/>
  <c r="O78" i="29"/>
  <c r="H81" i="29"/>
  <c r="N81" i="29"/>
  <c r="I81" i="29"/>
  <c r="J81" i="29"/>
  <c r="E81" i="29"/>
  <c r="M81" i="29"/>
  <c r="K81" i="29"/>
  <c r="F81" i="29"/>
  <c r="D81" i="29"/>
  <c r="L81" i="29"/>
  <c r="G81" i="29"/>
  <c r="C81" i="29"/>
  <c r="Y83" i="14"/>
  <c r="AA83" i="14"/>
  <c r="N4" i="7"/>
  <c r="N83" i="7" s="1"/>
  <c r="M83" i="7"/>
  <c r="J83" i="7"/>
  <c r="AA51" i="14"/>
  <c r="Y110" i="3"/>
  <c r="X110" i="3"/>
  <c r="E83" i="27"/>
  <c r="O81" i="29" l="1"/>
  <c r="T86" i="14"/>
  <c r="Y84" i="24" s="1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4" i="3"/>
  <c r="Z69" i="3"/>
  <c r="Z62" i="3"/>
  <c r="Z61" i="3"/>
  <c r="Z60" i="3"/>
  <c r="Z53" i="3"/>
  <c r="Z50" i="3"/>
  <c r="Z37" i="3"/>
  <c r="Z20" i="3"/>
  <c r="Z19" i="3"/>
  <c r="Z18" i="3"/>
  <c r="Z12" i="3"/>
  <c r="Y5" i="24" l="1"/>
  <c r="T5" i="14" s="1"/>
  <c r="Y12" i="24"/>
  <c r="Y27" i="24"/>
  <c r="Y34" i="24"/>
  <c r="Y41" i="24"/>
  <c r="Y49" i="24"/>
  <c r="Y56" i="24"/>
  <c r="Y64" i="24"/>
  <c r="Y71" i="24"/>
  <c r="Y79" i="24"/>
  <c r="Y13" i="24"/>
  <c r="Y20" i="24"/>
  <c r="Y35" i="24"/>
  <c r="Y42" i="24"/>
  <c r="Y50" i="24"/>
  <c r="Y57" i="24"/>
  <c r="Y65" i="24"/>
  <c r="Y72" i="24"/>
  <c r="Y80" i="24"/>
  <c r="Y14" i="24"/>
  <c r="Y21" i="24"/>
  <c r="Y28" i="24"/>
  <c r="Y43" i="24"/>
  <c r="Y51" i="24"/>
  <c r="Y58" i="24"/>
  <c r="Y66" i="24"/>
  <c r="Y73" i="24"/>
  <c r="Y81" i="24"/>
  <c r="Y16" i="24"/>
  <c r="Y30" i="24"/>
  <c r="Y45" i="24"/>
  <c r="Y60" i="24"/>
  <c r="Y4" i="24"/>
  <c r="Y38" i="24"/>
  <c r="Y61" i="24"/>
  <c r="Y63" i="24"/>
  <c r="Y7" i="24"/>
  <c r="Y15" i="24"/>
  <c r="Y22" i="24"/>
  <c r="Y29" i="24"/>
  <c r="Y36" i="24"/>
  <c r="Y44" i="24"/>
  <c r="Y59" i="24"/>
  <c r="Y67" i="24"/>
  <c r="Y74" i="24"/>
  <c r="Y82" i="24"/>
  <c r="Y8" i="24"/>
  <c r="Y37" i="24"/>
  <c r="Y52" i="24"/>
  <c r="Y17" i="24"/>
  <c r="Y31" i="24"/>
  <c r="Y53" i="24"/>
  <c r="Y23" i="24"/>
  <c r="Y75" i="24"/>
  <c r="Y68" i="24"/>
  <c r="Y70" i="24"/>
  <c r="Y9" i="24"/>
  <c r="Y24" i="24"/>
  <c r="Y46" i="24"/>
  <c r="Y76" i="24"/>
  <c r="Y10" i="24"/>
  <c r="Y18" i="24"/>
  <c r="Y25" i="24"/>
  <c r="Y32" i="24"/>
  <c r="Y39" i="24"/>
  <c r="Y47" i="24"/>
  <c r="Y54" i="24"/>
  <c r="Y62" i="24"/>
  <c r="Y69" i="24"/>
  <c r="Y77" i="24"/>
  <c r="Y11" i="24"/>
  <c r="Y19" i="24"/>
  <c r="Y26" i="24"/>
  <c r="Y33" i="24"/>
  <c r="Y40" i="24"/>
  <c r="Y48" i="24"/>
  <c r="Y55" i="24"/>
  <c r="Y78" i="24"/>
  <c r="Z5" i="24"/>
  <c r="Y6" i="24"/>
  <c r="V8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4" i="14"/>
  <c r="W86" i="28"/>
  <c r="V82" i="28"/>
  <c r="M82" i="28"/>
  <c r="M81" i="28"/>
  <c r="N81" i="28"/>
  <c r="V80" i="28"/>
  <c r="M80" i="28"/>
  <c r="V79" i="28"/>
  <c r="N79" i="28"/>
  <c r="M79" i="28"/>
  <c r="V78" i="28"/>
  <c r="N78" i="28"/>
  <c r="M78" i="28"/>
  <c r="V77" i="28"/>
  <c r="N77" i="28"/>
  <c r="M77" i="28"/>
  <c r="V76" i="28"/>
  <c r="N76" i="28"/>
  <c r="M76" i="28"/>
  <c r="V75" i="28"/>
  <c r="N75" i="28"/>
  <c r="M75" i="28"/>
  <c r="V74" i="28"/>
  <c r="M74" i="28"/>
  <c r="V73" i="28"/>
  <c r="M73" i="28"/>
  <c r="N73" i="28"/>
  <c r="V72" i="28"/>
  <c r="N72" i="28"/>
  <c r="M72" i="28"/>
  <c r="V71" i="28"/>
  <c r="N71" i="28"/>
  <c r="P71" i="28" s="1"/>
  <c r="M71" i="28"/>
  <c r="V70" i="28"/>
  <c r="N70" i="28"/>
  <c r="M70" i="28"/>
  <c r="V69" i="28"/>
  <c r="N69" i="28"/>
  <c r="M69" i="28"/>
  <c r="V68" i="28"/>
  <c r="N68" i="28"/>
  <c r="M68" i="28"/>
  <c r="V67" i="28"/>
  <c r="N67" i="28"/>
  <c r="M67" i="28"/>
  <c r="V66" i="28"/>
  <c r="M66" i="28"/>
  <c r="V65" i="28"/>
  <c r="M65" i="28"/>
  <c r="N65" i="28"/>
  <c r="V64" i="28"/>
  <c r="N64" i="28"/>
  <c r="M64" i="28"/>
  <c r="V63" i="28"/>
  <c r="O63" i="28"/>
  <c r="Q63" i="28" s="1"/>
  <c r="R63" i="28" s="1"/>
  <c r="N63" i="28"/>
  <c r="P63" i="28" s="1"/>
  <c r="M63" i="28"/>
  <c r="V62" i="28"/>
  <c r="N62" i="28"/>
  <c r="M62" i="28"/>
  <c r="V61" i="28"/>
  <c r="N61" i="28"/>
  <c r="V60" i="28"/>
  <c r="N60" i="28"/>
  <c r="M60" i="28"/>
  <c r="V59" i="28"/>
  <c r="N59" i="28"/>
  <c r="M59" i="28"/>
  <c r="V58" i="28"/>
  <c r="M58" i="28"/>
  <c r="P58" i="28" s="1"/>
  <c r="N58" i="28"/>
  <c r="M57" i="28"/>
  <c r="N57" i="28"/>
  <c r="V56" i="28"/>
  <c r="N56" i="28"/>
  <c r="M56" i="28"/>
  <c r="V55" i="28"/>
  <c r="N55" i="28"/>
  <c r="V54" i="28"/>
  <c r="N54" i="28"/>
  <c r="M54" i="28"/>
  <c r="V53" i="28"/>
  <c r="N53" i="28"/>
  <c r="V52" i="28"/>
  <c r="N52" i="28"/>
  <c r="M52" i="28"/>
  <c r="V51" i="28"/>
  <c r="N51" i="28"/>
  <c r="M51" i="28"/>
  <c r="M50" i="28"/>
  <c r="N50" i="28"/>
  <c r="O50" i="28" s="1"/>
  <c r="M49" i="28"/>
  <c r="N49" i="28"/>
  <c r="V48" i="28"/>
  <c r="N48" i="28"/>
  <c r="M48" i="28"/>
  <c r="V47" i="28"/>
  <c r="O47" i="28"/>
  <c r="Q47" i="28" s="1"/>
  <c r="R47" i="28" s="1"/>
  <c r="N47" i="28"/>
  <c r="P47" i="28" s="1"/>
  <c r="M47" i="28"/>
  <c r="V46" i="28"/>
  <c r="M46" i="28"/>
  <c r="V45" i="28"/>
  <c r="N45" i="28"/>
  <c r="M45" i="28"/>
  <c r="V44" i="28"/>
  <c r="N44" i="28"/>
  <c r="M44" i="28"/>
  <c r="V43" i="28"/>
  <c r="V42" i="28"/>
  <c r="M42" i="28"/>
  <c r="M41" i="28"/>
  <c r="V40" i="28"/>
  <c r="N40" i="28"/>
  <c r="M40" i="28"/>
  <c r="N39" i="28"/>
  <c r="V38" i="28"/>
  <c r="M38" i="28"/>
  <c r="V37" i="28"/>
  <c r="N37" i="28"/>
  <c r="M37" i="28"/>
  <c r="V36" i="28"/>
  <c r="N36" i="28"/>
  <c r="M36" i="28"/>
  <c r="V35" i="28"/>
  <c r="V34" i="28"/>
  <c r="M34" i="28"/>
  <c r="M33" i="28"/>
  <c r="V32" i="28"/>
  <c r="N32" i="28"/>
  <c r="N31" i="28"/>
  <c r="V30" i="28"/>
  <c r="M30" i="28"/>
  <c r="V29" i="28"/>
  <c r="N29" i="28"/>
  <c r="M29" i="28"/>
  <c r="V28" i="28"/>
  <c r="N28" i="28"/>
  <c r="M28" i="28"/>
  <c r="V27" i="28"/>
  <c r="M27" i="28"/>
  <c r="V26" i="28"/>
  <c r="M26" i="28"/>
  <c r="V25" i="28"/>
  <c r="M25" i="28"/>
  <c r="V24" i="28"/>
  <c r="N24" i="28"/>
  <c r="V23" i="28"/>
  <c r="N23" i="28"/>
  <c r="P23" i="28" s="1"/>
  <c r="M23" i="28"/>
  <c r="V22" i="28"/>
  <c r="N22" i="28"/>
  <c r="M22" i="28"/>
  <c r="V21" i="28"/>
  <c r="N21" i="28"/>
  <c r="M21" i="28"/>
  <c r="V20" i="28"/>
  <c r="N20" i="28"/>
  <c r="M20" i="28"/>
  <c r="V19" i="28"/>
  <c r="N19" i="28"/>
  <c r="M19" i="28"/>
  <c r="M18" i="28"/>
  <c r="V17" i="28"/>
  <c r="M17" i="28"/>
  <c r="V16" i="28"/>
  <c r="N16" i="28"/>
  <c r="M16" i="28"/>
  <c r="V15" i="28"/>
  <c r="N15" i="28"/>
  <c r="M15" i="28"/>
  <c r="V14" i="28"/>
  <c r="N14" i="28"/>
  <c r="V13" i="28"/>
  <c r="N13" i="28"/>
  <c r="M13" i="28"/>
  <c r="V12" i="28"/>
  <c r="N12" i="28"/>
  <c r="M12" i="28"/>
  <c r="V11" i="28"/>
  <c r="N11" i="28"/>
  <c r="M11" i="28"/>
  <c r="V10" i="28"/>
  <c r="N10" i="28"/>
  <c r="M10" i="28"/>
  <c r="V9" i="28"/>
  <c r="M9" i="28"/>
  <c r="V8" i="28"/>
  <c r="N8" i="28"/>
  <c r="M8" i="28"/>
  <c r="V7" i="28"/>
  <c r="N7" i="28"/>
  <c r="M7" i="28"/>
  <c r="V6" i="28"/>
  <c r="N6" i="28"/>
  <c r="V5" i="28"/>
  <c r="N5" i="28"/>
  <c r="M5" i="28"/>
  <c r="V4" i="28"/>
  <c r="E83" i="28"/>
  <c r="C83" i="28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4" i="20"/>
  <c r="K83" i="20"/>
  <c r="Z11" i="24" l="1"/>
  <c r="T11" i="14"/>
  <c r="Z25" i="24"/>
  <c r="T25" i="14"/>
  <c r="Z68" i="24"/>
  <c r="T68" i="14"/>
  <c r="Z8" i="24"/>
  <c r="T8" i="14"/>
  <c r="Z22" i="24"/>
  <c r="T22" i="14"/>
  <c r="Z45" i="24"/>
  <c r="T45" i="14"/>
  <c r="Z43" i="24"/>
  <c r="T43" i="14"/>
  <c r="Z50" i="24"/>
  <c r="T50" i="14"/>
  <c r="Z64" i="24"/>
  <c r="T64" i="14"/>
  <c r="Z78" i="24"/>
  <c r="T78" i="14"/>
  <c r="Z77" i="24"/>
  <c r="T77" i="14"/>
  <c r="Z18" i="24"/>
  <c r="T18" i="14"/>
  <c r="Z75" i="24"/>
  <c r="T75" i="14"/>
  <c r="Z82" i="24"/>
  <c r="T82" i="14"/>
  <c r="Z15" i="24"/>
  <c r="T15" i="14"/>
  <c r="Z30" i="24"/>
  <c r="T30" i="14"/>
  <c r="Z28" i="24"/>
  <c r="T28" i="14"/>
  <c r="Z42" i="24"/>
  <c r="T42" i="14"/>
  <c r="Z56" i="24"/>
  <c r="T56" i="14"/>
  <c r="Z55" i="24"/>
  <c r="T55" i="14"/>
  <c r="Z69" i="24"/>
  <c r="T69" i="14"/>
  <c r="Z10" i="24"/>
  <c r="T10" i="14"/>
  <c r="Z23" i="24"/>
  <c r="T23" i="14"/>
  <c r="Z74" i="24"/>
  <c r="T74" i="14"/>
  <c r="Z7" i="24"/>
  <c r="T7" i="14"/>
  <c r="Z16" i="24"/>
  <c r="T16" i="14"/>
  <c r="Z21" i="24"/>
  <c r="T21" i="14"/>
  <c r="Z35" i="24"/>
  <c r="T35" i="14"/>
  <c r="Z49" i="24"/>
  <c r="T49" i="14"/>
  <c r="Z48" i="24"/>
  <c r="T48" i="14"/>
  <c r="Z53" i="24"/>
  <c r="T53" i="14"/>
  <c r="Z67" i="24"/>
  <c r="T67" i="14"/>
  <c r="Z63" i="24"/>
  <c r="T63" i="14"/>
  <c r="Z81" i="24"/>
  <c r="T81" i="14"/>
  <c r="Z14" i="24"/>
  <c r="T14" i="14"/>
  <c r="Z20" i="24"/>
  <c r="T20" i="14"/>
  <c r="Z41" i="24"/>
  <c r="T41" i="14"/>
  <c r="Z76" i="24"/>
  <c r="T76" i="14"/>
  <c r="Z40" i="24"/>
  <c r="T40" i="14"/>
  <c r="Z54" i="24"/>
  <c r="T54" i="14"/>
  <c r="Z46" i="24"/>
  <c r="T46" i="14"/>
  <c r="Z31" i="24"/>
  <c r="T31" i="14"/>
  <c r="Z59" i="24"/>
  <c r="T59" i="14"/>
  <c r="Z61" i="24"/>
  <c r="T61" i="14"/>
  <c r="Z73" i="24"/>
  <c r="T73" i="14"/>
  <c r="Z80" i="24"/>
  <c r="T80" i="14"/>
  <c r="Z13" i="24"/>
  <c r="T13" i="14"/>
  <c r="Z34" i="24"/>
  <c r="T34" i="14"/>
  <c r="Z62" i="24"/>
  <c r="T62" i="14"/>
  <c r="Z33" i="24"/>
  <c r="T33" i="14"/>
  <c r="Z47" i="24"/>
  <c r="T47" i="14"/>
  <c r="Z24" i="24"/>
  <c r="T24" i="14"/>
  <c r="Z17" i="24"/>
  <c r="T17" i="14"/>
  <c r="Z44" i="24"/>
  <c r="T44" i="14"/>
  <c r="Z38" i="24"/>
  <c r="T38" i="14"/>
  <c r="Z66" i="24"/>
  <c r="T66" i="14"/>
  <c r="Z72" i="24"/>
  <c r="T72" i="14"/>
  <c r="Z27" i="24"/>
  <c r="T27" i="14"/>
  <c r="Z26" i="24"/>
  <c r="T26" i="14"/>
  <c r="Z39" i="24"/>
  <c r="T39" i="14"/>
  <c r="Z9" i="24"/>
  <c r="T9" i="14"/>
  <c r="Z52" i="24"/>
  <c r="T52" i="14"/>
  <c r="Z36" i="24"/>
  <c r="T36" i="14"/>
  <c r="Z4" i="24"/>
  <c r="T4" i="14"/>
  <c r="Z58" i="24"/>
  <c r="T58" i="14"/>
  <c r="Z65" i="24"/>
  <c r="T65" i="14"/>
  <c r="Z79" i="24"/>
  <c r="T79" i="14"/>
  <c r="Z12" i="24"/>
  <c r="T12" i="14"/>
  <c r="Z6" i="24"/>
  <c r="T6" i="14"/>
  <c r="Z19" i="24"/>
  <c r="T19" i="14"/>
  <c r="Z32" i="24"/>
  <c r="T32" i="14"/>
  <c r="Z70" i="24"/>
  <c r="T70" i="14"/>
  <c r="Z37" i="24"/>
  <c r="T37" i="14"/>
  <c r="Z29" i="24"/>
  <c r="T29" i="14"/>
  <c r="Z60" i="24"/>
  <c r="T60" i="14"/>
  <c r="Z51" i="24"/>
  <c r="T51" i="14"/>
  <c r="Z57" i="24"/>
  <c r="T57" i="14"/>
  <c r="Z71" i="24"/>
  <c r="T71" i="14"/>
  <c r="Y83" i="24"/>
  <c r="Y85" i="24" s="1"/>
  <c r="T84" i="14" s="1"/>
  <c r="P16" i="28"/>
  <c r="O16" i="28"/>
  <c r="Q16" i="28" s="1"/>
  <c r="R16" i="28" s="1"/>
  <c r="P40" i="28"/>
  <c r="O40" i="28"/>
  <c r="Q40" i="28" s="1"/>
  <c r="R40" i="28" s="1"/>
  <c r="P37" i="28"/>
  <c r="O37" i="28"/>
  <c r="Q37" i="28" s="1"/>
  <c r="R37" i="28" s="1"/>
  <c r="P52" i="28"/>
  <c r="O52" i="28"/>
  <c r="Q52" i="28" s="1"/>
  <c r="R52" i="28" s="1"/>
  <c r="O20" i="28"/>
  <c r="Q20" i="28" s="1"/>
  <c r="R20" i="28" s="1"/>
  <c r="P20" i="28"/>
  <c r="P44" i="28"/>
  <c r="O44" i="28"/>
  <c r="Q44" i="28" s="1"/>
  <c r="R44" i="28" s="1"/>
  <c r="P68" i="28"/>
  <c r="O68" i="28"/>
  <c r="Q68" i="28" s="1"/>
  <c r="R68" i="28" s="1"/>
  <c r="P8" i="28"/>
  <c r="O8" i="28"/>
  <c r="Q8" i="28" s="1"/>
  <c r="R8" i="28" s="1"/>
  <c r="O11" i="28"/>
  <c r="Q11" i="28" s="1"/>
  <c r="R11" i="28" s="1"/>
  <c r="P11" i="28"/>
  <c r="O22" i="28"/>
  <c r="Q22" i="28" s="1"/>
  <c r="R22" i="28" s="1"/>
  <c r="P22" i="28"/>
  <c r="P29" i="28"/>
  <c r="O29" i="28"/>
  <c r="Q29" i="28" s="1"/>
  <c r="R29" i="28" s="1"/>
  <c r="P32" i="28"/>
  <c r="P7" i="28"/>
  <c r="O7" i="28"/>
  <c r="Q7" i="28" s="1"/>
  <c r="R7" i="28" s="1"/>
  <c r="P10" i="28"/>
  <c r="O10" i="28"/>
  <c r="Q10" i="28" s="1"/>
  <c r="R10" i="28" s="1"/>
  <c r="O13" i="28"/>
  <c r="Q13" i="28" s="1"/>
  <c r="R13" i="28" s="1"/>
  <c r="P13" i="28"/>
  <c r="P24" i="28"/>
  <c r="O6" i="28"/>
  <c r="Q6" i="28" s="1"/>
  <c r="R6" i="28" s="1"/>
  <c r="P21" i="28"/>
  <c r="O21" i="28"/>
  <c r="Q21" i="28" s="1"/>
  <c r="R21" i="28" s="1"/>
  <c r="P45" i="28"/>
  <c r="O45" i="28"/>
  <c r="Q45" i="28" s="1"/>
  <c r="R45" i="28" s="1"/>
  <c r="P60" i="28"/>
  <c r="O60" i="28"/>
  <c r="Q60" i="28" s="1"/>
  <c r="R60" i="28" s="1"/>
  <c r="O5" i="28"/>
  <c r="Q5" i="28" s="1"/>
  <c r="R5" i="28" s="1"/>
  <c r="P5" i="28"/>
  <c r="P19" i="28"/>
  <c r="O19" i="28"/>
  <c r="Q19" i="28" s="1"/>
  <c r="R19" i="28" s="1"/>
  <c r="O12" i="28"/>
  <c r="Q12" i="28" s="1"/>
  <c r="R12" i="28" s="1"/>
  <c r="P12" i="28"/>
  <c r="P15" i="28"/>
  <c r="O15" i="28"/>
  <c r="Q15" i="28" s="1"/>
  <c r="R15" i="28" s="1"/>
  <c r="P36" i="28"/>
  <c r="O36" i="28"/>
  <c r="Q36" i="28" s="1"/>
  <c r="R36" i="28" s="1"/>
  <c r="P48" i="28"/>
  <c r="O48" i="28"/>
  <c r="Q48" i="28" s="1"/>
  <c r="R48" i="28" s="1"/>
  <c r="F83" i="28"/>
  <c r="N18" i="28"/>
  <c r="P28" i="28"/>
  <c r="O28" i="28"/>
  <c r="Q28" i="28" s="1"/>
  <c r="R28" i="28" s="1"/>
  <c r="N30" i="28"/>
  <c r="N33" i="28"/>
  <c r="N34" i="28"/>
  <c r="N38" i="28"/>
  <c r="N41" i="28"/>
  <c r="N42" i="28"/>
  <c r="N46" i="28"/>
  <c r="V49" i="28"/>
  <c r="M55" i="28"/>
  <c r="O55" i="28" s="1"/>
  <c r="Q55" i="28" s="1"/>
  <c r="R55" i="28" s="1"/>
  <c r="M61" i="28"/>
  <c r="P65" i="28"/>
  <c r="O65" i="28"/>
  <c r="Q65" i="28" s="1"/>
  <c r="R65" i="28" s="1"/>
  <c r="N82" i="28"/>
  <c r="K83" i="28"/>
  <c r="T83" i="28"/>
  <c r="D83" i="28"/>
  <c r="L83" i="28"/>
  <c r="U83" i="28"/>
  <c r="N27" i="28"/>
  <c r="V31" i="28"/>
  <c r="N35" i="28"/>
  <c r="V39" i="28"/>
  <c r="N43" i="28"/>
  <c r="P55" i="28"/>
  <c r="V57" i="28"/>
  <c r="P61" i="28"/>
  <c r="O61" i="28"/>
  <c r="Q61" i="28" s="1"/>
  <c r="R61" i="28" s="1"/>
  <c r="P73" i="28"/>
  <c r="O73" i="28"/>
  <c r="Q73" i="28" s="1"/>
  <c r="R73" i="28" s="1"/>
  <c r="P56" i="28"/>
  <c r="O56" i="28"/>
  <c r="Q56" i="28" s="1"/>
  <c r="R56" i="28" s="1"/>
  <c r="P69" i="28"/>
  <c r="O69" i="28"/>
  <c r="Q69" i="28" s="1"/>
  <c r="R69" i="28" s="1"/>
  <c r="P81" i="28"/>
  <c r="O81" i="28"/>
  <c r="Q81" i="28" s="1"/>
  <c r="R81" i="28" s="1"/>
  <c r="P64" i="28"/>
  <c r="O64" i="28"/>
  <c r="Q64" i="28" s="1"/>
  <c r="R64" i="28" s="1"/>
  <c r="P76" i="28"/>
  <c r="O76" i="28"/>
  <c r="Q76" i="28" s="1"/>
  <c r="R76" i="28" s="1"/>
  <c r="P77" i="28"/>
  <c r="O77" i="28"/>
  <c r="Q77" i="28" s="1"/>
  <c r="R77" i="28" s="1"/>
  <c r="N4" i="28"/>
  <c r="G83" i="28"/>
  <c r="O23" i="28"/>
  <c r="Q23" i="28" s="1"/>
  <c r="R23" i="28" s="1"/>
  <c r="M24" i="28"/>
  <c r="O24" i="28" s="1"/>
  <c r="Q24" i="28" s="1"/>
  <c r="R24" i="28" s="1"/>
  <c r="V33" i="28"/>
  <c r="V83" i="28" s="1"/>
  <c r="V41" i="28"/>
  <c r="P51" i="28"/>
  <c r="O51" i="28"/>
  <c r="Q51" i="28" s="1"/>
  <c r="R51" i="28" s="1"/>
  <c r="P54" i="28"/>
  <c r="O54" i="28"/>
  <c r="Q54" i="28" s="1"/>
  <c r="R54" i="28" s="1"/>
  <c r="O71" i="28"/>
  <c r="Q71" i="28" s="1"/>
  <c r="R71" i="28" s="1"/>
  <c r="P72" i="28"/>
  <c r="O72" i="28"/>
  <c r="Q72" i="28" s="1"/>
  <c r="R72" i="28" s="1"/>
  <c r="P79" i="28"/>
  <c r="H83" i="28"/>
  <c r="N9" i="28"/>
  <c r="N17" i="28"/>
  <c r="V18" i="28"/>
  <c r="N25" i="28"/>
  <c r="P49" i="28"/>
  <c r="O49" i="28"/>
  <c r="P50" i="28"/>
  <c r="O58" i="28"/>
  <c r="Q58" i="28" s="1"/>
  <c r="R58" i="28" s="1"/>
  <c r="P59" i="28"/>
  <c r="O59" i="28"/>
  <c r="Q59" i="28" s="1"/>
  <c r="R59" i="28" s="1"/>
  <c r="P62" i="28"/>
  <c r="O62" i="28"/>
  <c r="Q62" i="28" s="1"/>
  <c r="R62" i="28" s="1"/>
  <c r="O79" i="28"/>
  <c r="Q79" i="28" s="1"/>
  <c r="R79" i="28" s="1"/>
  <c r="N80" i="28"/>
  <c r="V81" i="28"/>
  <c r="M4" i="28"/>
  <c r="M31" i="28"/>
  <c r="P31" i="28" s="1"/>
  <c r="M35" i="28"/>
  <c r="M39" i="28"/>
  <c r="O39" i="28" s="1"/>
  <c r="Q39" i="28" s="1"/>
  <c r="R39" i="28" s="1"/>
  <c r="M43" i="28"/>
  <c r="V50" i="28"/>
  <c r="Q50" i="28" s="1"/>
  <c r="R50" i="28" s="1"/>
  <c r="N66" i="28"/>
  <c r="P67" i="28"/>
  <c r="O67" i="28"/>
  <c r="Q67" i="28" s="1"/>
  <c r="R67" i="28" s="1"/>
  <c r="P70" i="28"/>
  <c r="O70" i="28"/>
  <c r="Q70" i="28" s="1"/>
  <c r="R70" i="28" s="1"/>
  <c r="I83" i="28"/>
  <c r="J83" i="28"/>
  <c r="S83" i="28"/>
  <c r="M6" i="28"/>
  <c r="P6" i="28" s="1"/>
  <c r="M14" i="28"/>
  <c r="O14" i="28" s="1"/>
  <c r="Q14" i="28" s="1"/>
  <c r="R14" i="28" s="1"/>
  <c r="N26" i="28"/>
  <c r="M32" i="28"/>
  <c r="O32" i="28" s="1"/>
  <c r="Q32" i="28" s="1"/>
  <c r="R32" i="28" s="1"/>
  <c r="P39" i="28"/>
  <c r="M53" i="28"/>
  <c r="P53" i="28" s="1"/>
  <c r="P57" i="28"/>
  <c r="O57" i="28"/>
  <c r="Q57" i="28" s="1"/>
  <c r="R57" i="28" s="1"/>
  <c r="N74" i="28"/>
  <c r="P75" i="28"/>
  <c r="O75" i="28"/>
  <c r="Q75" i="28" s="1"/>
  <c r="R75" i="28" s="1"/>
  <c r="P78" i="28"/>
  <c r="O78" i="28"/>
  <c r="Q78" i="28" s="1"/>
  <c r="R78" i="28" s="1"/>
  <c r="D88" i="27"/>
  <c r="P120" i="3"/>
  <c r="K120" i="3"/>
  <c r="N120" i="3"/>
  <c r="F120" i="3"/>
  <c r="H120" i="3" s="1"/>
  <c r="C84" i="20"/>
  <c r="Z83" i="24" l="1"/>
  <c r="P41" i="28"/>
  <c r="O41" i="28"/>
  <c r="Q41" i="28" s="1"/>
  <c r="R41" i="28" s="1"/>
  <c r="N83" i="28"/>
  <c r="P83" i="28" s="1"/>
  <c r="O4" i="28"/>
  <c r="P4" i="28"/>
  <c r="O38" i="28"/>
  <c r="Q38" i="28" s="1"/>
  <c r="R38" i="28" s="1"/>
  <c r="P38" i="28"/>
  <c r="O34" i="28"/>
  <c r="Q34" i="28" s="1"/>
  <c r="R34" i="28" s="1"/>
  <c r="P34" i="28"/>
  <c r="O9" i="28"/>
  <c r="Q9" i="28" s="1"/>
  <c r="R9" i="28" s="1"/>
  <c r="P9" i="28"/>
  <c r="P27" i="28"/>
  <c r="O27" i="28"/>
  <c r="Q27" i="28" s="1"/>
  <c r="R27" i="28" s="1"/>
  <c r="O74" i="28"/>
  <c r="Q74" i="28" s="1"/>
  <c r="R74" i="28" s="1"/>
  <c r="P74" i="28"/>
  <c r="M83" i="28"/>
  <c r="O31" i="28"/>
  <c r="Q31" i="28" s="1"/>
  <c r="R31" i="28" s="1"/>
  <c r="O66" i="28"/>
  <c r="Q66" i="28" s="1"/>
  <c r="R66" i="28" s="1"/>
  <c r="P66" i="28"/>
  <c r="P80" i="28"/>
  <c r="O80" i="28"/>
  <c r="Q80" i="28" s="1"/>
  <c r="R80" i="28" s="1"/>
  <c r="Q49" i="28"/>
  <c r="R49" i="28" s="1"/>
  <c r="O53" i="28"/>
  <c r="Q53" i="28" s="1"/>
  <c r="R53" i="28" s="1"/>
  <c r="P33" i="28"/>
  <c r="O33" i="28"/>
  <c r="Q33" i="28" s="1"/>
  <c r="R33" i="28" s="1"/>
  <c r="O26" i="28"/>
  <c r="Q26" i="28" s="1"/>
  <c r="R26" i="28" s="1"/>
  <c r="P26" i="28"/>
  <c r="P43" i="28"/>
  <c r="O43" i="28"/>
  <c r="Q43" i="28" s="1"/>
  <c r="R43" i="28" s="1"/>
  <c r="O30" i="28"/>
  <c r="Q30" i="28" s="1"/>
  <c r="R30" i="28" s="1"/>
  <c r="P30" i="28"/>
  <c r="P25" i="28"/>
  <c r="O25" i="28"/>
  <c r="Q25" i="28" s="1"/>
  <c r="R25" i="28" s="1"/>
  <c r="P14" i="28"/>
  <c r="P35" i="28"/>
  <c r="O35" i="28"/>
  <c r="Q35" i="28" s="1"/>
  <c r="R35" i="28" s="1"/>
  <c r="O82" i="28"/>
  <c r="Q82" i="28" s="1"/>
  <c r="R82" i="28" s="1"/>
  <c r="P82" i="28"/>
  <c r="O46" i="28"/>
  <c r="Q46" i="28" s="1"/>
  <c r="R46" i="28" s="1"/>
  <c r="P46" i="28"/>
  <c r="O17" i="28"/>
  <c r="Q17" i="28" s="1"/>
  <c r="R17" i="28" s="1"/>
  <c r="P17" i="28"/>
  <c r="O42" i="28"/>
  <c r="Q42" i="28" s="1"/>
  <c r="R42" i="28" s="1"/>
  <c r="P42" i="28"/>
  <c r="P18" i="28"/>
  <c r="O18" i="28"/>
  <c r="Q18" i="28" s="1"/>
  <c r="R18" i="28" s="1"/>
  <c r="C89" i="18"/>
  <c r="O83" i="28" l="1"/>
  <c r="Q83" i="28" s="1"/>
  <c r="Q4" i="28"/>
  <c r="R4" i="28" s="1"/>
  <c r="E4" i="27"/>
  <c r="S4" i="14" s="1"/>
  <c r="R83" i="28" l="1"/>
  <c r="W4" i="28" s="1"/>
  <c r="E48" i="27"/>
  <c r="S48" i="14" s="1"/>
  <c r="E74" i="27"/>
  <c r="S74" i="14" s="1"/>
  <c r="E64" i="27"/>
  <c r="S64" i="14" s="1"/>
  <c r="E80" i="27"/>
  <c r="S80" i="14" s="1"/>
  <c r="E69" i="27"/>
  <c r="S69" i="14" s="1"/>
  <c r="E40" i="27"/>
  <c r="S40" i="14" s="1"/>
  <c r="E6" i="27"/>
  <c r="S6" i="14" s="1"/>
  <c r="E54" i="27"/>
  <c r="S54" i="14" s="1"/>
  <c r="E5" i="27"/>
  <c r="S5" i="14" s="1"/>
  <c r="E77" i="27"/>
  <c r="S77" i="14" s="1"/>
  <c r="E66" i="27"/>
  <c r="S66" i="14" s="1"/>
  <c r="E53" i="27"/>
  <c r="S53" i="14" s="1"/>
  <c r="E37" i="27"/>
  <c r="S37" i="14" s="1"/>
  <c r="E21" i="27"/>
  <c r="S21" i="14" s="1"/>
  <c r="E56" i="27"/>
  <c r="S56" i="14" s="1"/>
  <c r="E24" i="27"/>
  <c r="S24" i="14" s="1"/>
  <c r="E78" i="27"/>
  <c r="S78" i="14" s="1"/>
  <c r="E68" i="27"/>
  <c r="S68" i="14" s="1"/>
  <c r="E38" i="27"/>
  <c r="S38" i="14" s="1"/>
  <c r="E22" i="27"/>
  <c r="S22" i="14" s="1"/>
  <c r="E76" i="27"/>
  <c r="S76" i="14" s="1"/>
  <c r="E65" i="27"/>
  <c r="S65" i="14" s="1"/>
  <c r="E52" i="27"/>
  <c r="S52" i="14" s="1"/>
  <c r="E36" i="27"/>
  <c r="S36" i="14" s="1"/>
  <c r="E20" i="27"/>
  <c r="S20" i="14" s="1"/>
  <c r="E32" i="27"/>
  <c r="S32" i="14" s="1"/>
  <c r="E16" i="27"/>
  <c r="S16" i="14" s="1"/>
  <c r="E73" i="27"/>
  <c r="S73" i="14" s="1"/>
  <c r="E46" i="27"/>
  <c r="S46" i="14" s="1"/>
  <c r="E14" i="27"/>
  <c r="S14" i="14" s="1"/>
  <c r="E82" i="27"/>
  <c r="S82" i="14" s="1"/>
  <c r="E72" i="27"/>
  <c r="S72" i="14" s="1"/>
  <c r="E61" i="27"/>
  <c r="S61" i="14" s="1"/>
  <c r="E45" i="27"/>
  <c r="S45" i="14" s="1"/>
  <c r="E29" i="27"/>
  <c r="S29" i="14" s="1"/>
  <c r="E13" i="27"/>
  <c r="S13" i="14" s="1"/>
  <c r="E62" i="27"/>
  <c r="S62" i="14" s="1"/>
  <c r="E30" i="27"/>
  <c r="S30" i="14" s="1"/>
  <c r="E81" i="27"/>
  <c r="S81" i="14" s="1"/>
  <c r="E70" i="27"/>
  <c r="S70" i="14" s="1"/>
  <c r="E60" i="27"/>
  <c r="S60" i="14" s="1"/>
  <c r="E44" i="27"/>
  <c r="S44" i="14" s="1"/>
  <c r="E28" i="27"/>
  <c r="S28" i="14" s="1"/>
  <c r="E12" i="27"/>
  <c r="S12" i="14" s="1"/>
  <c r="E75" i="27"/>
  <c r="S75" i="14" s="1"/>
  <c r="E67" i="27"/>
  <c r="S67" i="14" s="1"/>
  <c r="E59" i="27"/>
  <c r="S59" i="14" s="1"/>
  <c r="E51" i="27"/>
  <c r="S51" i="14" s="1"/>
  <c r="E43" i="27"/>
  <c r="S43" i="14" s="1"/>
  <c r="E35" i="27"/>
  <c r="S35" i="14" s="1"/>
  <c r="E27" i="27"/>
  <c r="S27" i="14" s="1"/>
  <c r="E19" i="27"/>
  <c r="S19" i="14" s="1"/>
  <c r="E11" i="27"/>
  <c r="S11" i="14" s="1"/>
  <c r="E58" i="27"/>
  <c r="S58" i="14" s="1"/>
  <c r="E50" i="27"/>
  <c r="S50" i="14" s="1"/>
  <c r="E42" i="27"/>
  <c r="S42" i="14" s="1"/>
  <c r="E34" i="27"/>
  <c r="S34" i="14" s="1"/>
  <c r="E26" i="27"/>
  <c r="S26" i="14" s="1"/>
  <c r="E18" i="27"/>
  <c r="S18" i="14" s="1"/>
  <c r="E10" i="27"/>
  <c r="S10" i="14" s="1"/>
  <c r="E57" i="27"/>
  <c r="S57" i="14" s="1"/>
  <c r="E49" i="27"/>
  <c r="S49" i="14" s="1"/>
  <c r="E41" i="27"/>
  <c r="S41" i="14" s="1"/>
  <c r="E33" i="27"/>
  <c r="S33" i="14" s="1"/>
  <c r="E25" i="27"/>
  <c r="S25" i="14" s="1"/>
  <c r="E17" i="27"/>
  <c r="S17" i="14" s="1"/>
  <c r="E9" i="27"/>
  <c r="S9" i="14" s="1"/>
  <c r="E8" i="27"/>
  <c r="S8" i="14" s="1"/>
  <c r="E79" i="27"/>
  <c r="S79" i="14" s="1"/>
  <c r="E71" i="27"/>
  <c r="S71" i="14" s="1"/>
  <c r="E63" i="27"/>
  <c r="S63" i="14" s="1"/>
  <c r="E55" i="27"/>
  <c r="S55" i="14" s="1"/>
  <c r="E47" i="27"/>
  <c r="S47" i="14" s="1"/>
  <c r="E39" i="27"/>
  <c r="S39" i="14" s="1"/>
  <c r="E31" i="27"/>
  <c r="S31" i="14" s="1"/>
  <c r="E23" i="27"/>
  <c r="S23" i="14" s="1"/>
  <c r="E15" i="27"/>
  <c r="S15" i="14" s="1"/>
  <c r="E7" i="27"/>
  <c r="S7" i="14" s="1"/>
  <c r="E84" i="27"/>
  <c r="W47" i="28" l="1"/>
  <c r="W63" i="28"/>
  <c r="W50" i="28"/>
  <c r="W12" i="28"/>
  <c r="W29" i="28"/>
  <c r="W13" i="28"/>
  <c r="W10" i="28"/>
  <c r="W60" i="28"/>
  <c r="W22" i="28"/>
  <c r="W45" i="28"/>
  <c r="W24" i="28"/>
  <c r="W57" i="28"/>
  <c r="W51" i="28"/>
  <c r="W40" i="28"/>
  <c r="W71" i="28"/>
  <c r="W23" i="28"/>
  <c r="W70" i="28"/>
  <c r="W39" i="28"/>
  <c r="W67" i="28"/>
  <c r="W37" i="28"/>
  <c r="W58" i="28"/>
  <c r="W44" i="28"/>
  <c r="W62" i="28"/>
  <c r="W54" i="28"/>
  <c r="W8" i="28"/>
  <c r="W15" i="28"/>
  <c r="W52" i="28"/>
  <c r="W61" i="28"/>
  <c r="W79" i="28"/>
  <c r="W72" i="28"/>
  <c r="W56" i="28"/>
  <c r="W14" i="28"/>
  <c r="W77" i="28"/>
  <c r="W81" i="28"/>
  <c r="W48" i="28"/>
  <c r="W6" i="28"/>
  <c r="W64" i="28"/>
  <c r="W11" i="28"/>
  <c r="W7" i="28"/>
  <c r="W65" i="28"/>
  <c r="W16" i="28"/>
  <c r="W32" i="28"/>
  <c r="W69" i="28"/>
  <c r="W21" i="28"/>
  <c r="W78" i="28"/>
  <c r="W73" i="28"/>
  <c r="W20" i="28"/>
  <c r="W75" i="28"/>
  <c r="W76" i="28"/>
  <c r="W19" i="28"/>
  <c r="W36" i="28"/>
  <c r="W28" i="28"/>
  <c r="W5" i="28"/>
  <c r="W83" i="28" s="1"/>
  <c r="W85" i="28" s="1"/>
  <c r="W55" i="28"/>
  <c r="W68" i="28"/>
  <c r="W59" i="28"/>
  <c r="W33" i="28"/>
  <c r="W53" i="28"/>
  <c r="W46" i="28"/>
  <c r="W18" i="28"/>
  <c r="W26" i="28"/>
  <c r="W30" i="28"/>
  <c r="W49" i="28"/>
  <c r="W9" i="28"/>
  <c r="W82" i="28"/>
  <c r="W35" i="28"/>
  <c r="W66" i="28"/>
  <c r="W31" i="28"/>
  <c r="W25" i="28"/>
  <c r="W74" i="28"/>
  <c r="W34" i="28"/>
  <c r="W80" i="28"/>
  <c r="W27" i="28"/>
  <c r="W41" i="28"/>
  <c r="W43" i="28"/>
  <c r="W17" i="28"/>
  <c r="W42" i="28"/>
  <c r="W38" i="28"/>
  <c r="C83" i="27"/>
  <c r="D83" i="27"/>
  <c r="V83" i="14"/>
  <c r="S83" i="14"/>
  <c r="W4" i="14"/>
  <c r="V85" i="14" l="1"/>
  <c r="H9" i="3"/>
  <c r="H5" i="3"/>
  <c r="H8" i="3"/>
  <c r="H10" i="3"/>
  <c r="H13" i="3"/>
  <c r="H16" i="3"/>
  <c r="H18" i="3"/>
  <c r="H21" i="3"/>
  <c r="H24" i="3"/>
  <c r="H26" i="3"/>
  <c r="H29" i="3"/>
  <c r="H32" i="3"/>
  <c r="H34" i="3"/>
  <c r="H37" i="3"/>
  <c r="H40" i="3"/>
  <c r="H42" i="3"/>
  <c r="H45" i="3"/>
  <c r="H48" i="3"/>
  <c r="H50" i="3"/>
  <c r="H53" i="3"/>
  <c r="H56" i="3"/>
  <c r="H58" i="3"/>
  <c r="H59" i="3"/>
  <c r="H61" i="3"/>
  <c r="H64" i="3"/>
  <c r="H66" i="3"/>
  <c r="H69" i="3"/>
  <c r="H70" i="3"/>
  <c r="H72" i="3"/>
  <c r="H74" i="3"/>
  <c r="H76" i="3"/>
  <c r="H77" i="3"/>
  <c r="H78" i="3"/>
  <c r="H79" i="3"/>
  <c r="H80" i="3"/>
  <c r="H82" i="3"/>
  <c r="H4" i="3"/>
  <c r="H63" i="3" l="1"/>
  <c r="H23" i="3"/>
  <c r="H55" i="3"/>
  <c r="H39" i="3"/>
  <c r="H19" i="3"/>
  <c r="H67" i="3"/>
  <c r="H47" i="3"/>
  <c r="H11" i="3"/>
  <c r="H75" i="3"/>
  <c r="H51" i="3"/>
  <c r="H35" i="3"/>
  <c r="H27" i="3"/>
  <c r="H7" i="3"/>
  <c r="H81" i="3"/>
  <c r="H73" i="3"/>
  <c r="H65" i="3"/>
  <c r="H49" i="3"/>
  <c r="H41" i="3"/>
  <c r="H33" i="3"/>
  <c r="H25" i="3"/>
  <c r="H17" i="3"/>
  <c r="H71" i="3"/>
  <c r="H43" i="3"/>
  <c r="H31" i="3"/>
  <c r="H15" i="3"/>
  <c r="H57" i="3"/>
  <c r="H68" i="3"/>
  <c r="H60" i="3"/>
  <c r="H52" i="3"/>
  <c r="H44" i="3"/>
  <c r="H36" i="3"/>
  <c r="H28" i="3"/>
  <c r="H20" i="3"/>
  <c r="H12" i="3"/>
  <c r="H62" i="3"/>
  <c r="H54" i="3"/>
  <c r="H46" i="3"/>
  <c r="H38" i="3"/>
  <c r="H30" i="3"/>
  <c r="H22" i="3"/>
  <c r="H14" i="3"/>
  <c r="H6" i="3"/>
  <c r="J5" i="25"/>
  <c r="J4" i="25" l="1"/>
  <c r="J6" i="25"/>
  <c r="J7" i="25"/>
  <c r="J8" i="25"/>
  <c r="I9" i="25"/>
  <c r="H5" i="26"/>
  <c r="I5" i="26"/>
  <c r="H6" i="26"/>
  <c r="I6" i="26"/>
  <c r="H7" i="26"/>
  <c r="I7" i="26"/>
  <c r="J7" i="26" s="1"/>
  <c r="K7" i="26" s="1"/>
  <c r="H8" i="26"/>
  <c r="I8" i="26"/>
  <c r="H9" i="26"/>
  <c r="I9" i="26"/>
  <c r="H10" i="26"/>
  <c r="J10" i="26" s="1"/>
  <c r="K10" i="26" s="1"/>
  <c r="U10" i="14" s="1"/>
  <c r="I10" i="26"/>
  <c r="H11" i="26"/>
  <c r="I11" i="26"/>
  <c r="H12" i="26"/>
  <c r="I12" i="26"/>
  <c r="H13" i="26"/>
  <c r="I13" i="26"/>
  <c r="H14" i="26"/>
  <c r="I14" i="26"/>
  <c r="H15" i="26"/>
  <c r="I15" i="26"/>
  <c r="H16" i="26"/>
  <c r="I16" i="26"/>
  <c r="H17" i="26"/>
  <c r="I17" i="26"/>
  <c r="H18" i="26"/>
  <c r="I18" i="26"/>
  <c r="H19" i="26"/>
  <c r="I19" i="26"/>
  <c r="H20" i="26"/>
  <c r="I20" i="26"/>
  <c r="H21" i="26"/>
  <c r="I21" i="26"/>
  <c r="H22" i="26"/>
  <c r="I22" i="26"/>
  <c r="H23" i="26"/>
  <c r="I23" i="26"/>
  <c r="H24" i="26"/>
  <c r="I24" i="26"/>
  <c r="H25" i="26"/>
  <c r="I25" i="26"/>
  <c r="H26" i="26"/>
  <c r="I26" i="26"/>
  <c r="H27" i="26"/>
  <c r="I27" i="26"/>
  <c r="H28" i="26"/>
  <c r="I28" i="26"/>
  <c r="H29" i="26"/>
  <c r="I29" i="26"/>
  <c r="H30" i="26"/>
  <c r="I30" i="26"/>
  <c r="H31" i="26"/>
  <c r="I31" i="26"/>
  <c r="H32" i="26"/>
  <c r="I32" i="26"/>
  <c r="H33" i="26"/>
  <c r="I33" i="26"/>
  <c r="H34" i="26"/>
  <c r="I34" i="26"/>
  <c r="H35" i="26"/>
  <c r="I35" i="26"/>
  <c r="H36" i="26"/>
  <c r="I36" i="26"/>
  <c r="H37" i="26"/>
  <c r="I37" i="26"/>
  <c r="H38" i="26"/>
  <c r="I38" i="26"/>
  <c r="H39" i="26"/>
  <c r="I39" i="26"/>
  <c r="H40" i="26"/>
  <c r="I40" i="26"/>
  <c r="H41" i="26"/>
  <c r="I41" i="26"/>
  <c r="H42" i="26"/>
  <c r="I42" i="26"/>
  <c r="H43" i="26"/>
  <c r="I43" i="26"/>
  <c r="H44" i="26"/>
  <c r="I44" i="26"/>
  <c r="H45" i="26"/>
  <c r="I45" i="26"/>
  <c r="H46" i="26"/>
  <c r="I46" i="26"/>
  <c r="H47" i="26"/>
  <c r="I47" i="26"/>
  <c r="H48" i="26"/>
  <c r="I48" i="26"/>
  <c r="H49" i="26"/>
  <c r="I49" i="26"/>
  <c r="H50" i="26"/>
  <c r="I50" i="26"/>
  <c r="H51" i="26"/>
  <c r="I51" i="26"/>
  <c r="H52" i="26"/>
  <c r="I52" i="26"/>
  <c r="H53" i="26"/>
  <c r="I53" i="26"/>
  <c r="H54" i="26"/>
  <c r="I54" i="26"/>
  <c r="H55" i="26"/>
  <c r="I55" i="26"/>
  <c r="H56" i="26"/>
  <c r="I56" i="26"/>
  <c r="H57" i="26"/>
  <c r="I57" i="26"/>
  <c r="H58" i="26"/>
  <c r="I58" i="26"/>
  <c r="H59" i="26"/>
  <c r="I59" i="26"/>
  <c r="H60" i="26"/>
  <c r="I60" i="26"/>
  <c r="H61" i="26"/>
  <c r="I61" i="26"/>
  <c r="H62" i="26"/>
  <c r="J62" i="26" s="1"/>
  <c r="K62" i="26" s="1"/>
  <c r="I62" i="26"/>
  <c r="H63" i="26"/>
  <c r="I63" i="26"/>
  <c r="H64" i="26"/>
  <c r="I64" i="26"/>
  <c r="H65" i="26"/>
  <c r="I65" i="26"/>
  <c r="H66" i="26"/>
  <c r="J66" i="26" s="1"/>
  <c r="K66" i="26" s="1"/>
  <c r="U66" i="14" s="1"/>
  <c r="I66" i="26"/>
  <c r="H67" i="26"/>
  <c r="I67" i="26"/>
  <c r="H68" i="26"/>
  <c r="I68" i="26"/>
  <c r="H69" i="26"/>
  <c r="I69" i="26"/>
  <c r="H70" i="26"/>
  <c r="I70" i="26"/>
  <c r="H71" i="26"/>
  <c r="I71" i="26"/>
  <c r="H72" i="26"/>
  <c r="I72" i="26"/>
  <c r="H73" i="26"/>
  <c r="I73" i="26"/>
  <c r="H74" i="26"/>
  <c r="I74" i="26"/>
  <c r="H75" i="26"/>
  <c r="I75" i="26"/>
  <c r="H76" i="26"/>
  <c r="I76" i="26"/>
  <c r="H77" i="26"/>
  <c r="I77" i="26"/>
  <c r="H78" i="26"/>
  <c r="I78" i="26"/>
  <c r="H79" i="26"/>
  <c r="I79" i="26"/>
  <c r="H80" i="26"/>
  <c r="I80" i="26"/>
  <c r="H81" i="26"/>
  <c r="I81" i="26"/>
  <c r="H82" i="26"/>
  <c r="I82" i="26"/>
  <c r="I4" i="26"/>
  <c r="H4" i="26"/>
  <c r="G83" i="26"/>
  <c r="J45" i="26"/>
  <c r="K45" i="26" s="1"/>
  <c r="J42" i="26"/>
  <c r="K42" i="26" s="1"/>
  <c r="O84" i="24"/>
  <c r="O83" i="24"/>
  <c r="O93" i="24" s="1"/>
  <c r="N84" i="24"/>
  <c r="N83" i="24"/>
  <c r="N93" i="24" s="1"/>
  <c r="D84" i="24"/>
  <c r="J39" i="26" l="1"/>
  <c r="K39" i="26" s="1"/>
  <c r="M39" i="26" s="1"/>
  <c r="M45" i="26"/>
  <c r="U45" i="14"/>
  <c r="M7" i="26"/>
  <c r="U7" i="14"/>
  <c r="M62" i="26"/>
  <c r="U62" i="14"/>
  <c r="M42" i="26"/>
  <c r="U42" i="14"/>
  <c r="E85" i="27"/>
  <c r="S84" i="14" s="1"/>
  <c r="S85" i="14" s="1"/>
  <c r="J9" i="25"/>
  <c r="M66" i="26"/>
  <c r="M10" i="26"/>
  <c r="J80" i="26"/>
  <c r="K80" i="26" s="1"/>
  <c r="J79" i="26"/>
  <c r="K79" i="26" s="1"/>
  <c r="J60" i="26"/>
  <c r="K60" i="26" s="1"/>
  <c r="J6" i="26"/>
  <c r="K6" i="26" s="1"/>
  <c r="J28" i="26"/>
  <c r="K28" i="26" s="1"/>
  <c r="J19" i="26"/>
  <c r="K19" i="26" s="1"/>
  <c r="J32" i="26"/>
  <c r="K32" i="26" s="1"/>
  <c r="J36" i="26"/>
  <c r="K36" i="26" s="1"/>
  <c r="J59" i="26"/>
  <c r="K59" i="26" s="1"/>
  <c r="J40" i="26"/>
  <c r="K40" i="26" s="1"/>
  <c r="J65" i="26"/>
  <c r="K65" i="26" s="1"/>
  <c r="J74" i="26"/>
  <c r="K74" i="26" s="1"/>
  <c r="J35" i="26"/>
  <c r="K35" i="26" s="1"/>
  <c r="C83" i="26"/>
  <c r="J54" i="26"/>
  <c r="K54" i="26" s="1"/>
  <c r="J72" i="26"/>
  <c r="K72" i="26" s="1"/>
  <c r="J77" i="26"/>
  <c r="K77" i="26" s="1"/>
  <c r="J49" i="26"/>
  <c r="K49" i="26" s="1"/>
  <c r="J82" i="26"/>
  <c r="K82" i="26" s="1"/>
  <c r="J20" i="26"/>
  <c r="K20" i="26" s="1"/>
  <c r="J18" i="26"/>
  <c r="K18" i="26" s="1"/>
  <c r="J26" i="26"/>
  <c r="K26" i="26" s="1"/>
  <c r="J41" i="26"/>
  <c r="K41" i="26" s="1"/>
  <c r="J51" i="26"/>
  <c r="K51" i="26" s="1"/>
  <c r="J68" i="26"/>
  <c r="K68" i="26" s="1"/>
  <c r="J11" i="26"/>
  <c r="K11" i="26" s="1"/>
  <c r="J16" i="26"/>
  <c r="K16" i="26" s="1"/>
  <c r="J56" i="26"/>
  <c r="K56" i="26" s="1"/>
  <c r="D83" i="26"/>
  <c r="J9" i="26"/>
  <c r="K9" i="26" s="1"/>
  <c r="J63" i="26"/>
  <c r="K63" i="26" s="1"/>
  <c r="J73" i="26"/>
  <c r="K73" i="26" s="1"/>
  <c r="J15" i="26"/>
  <c r="K15" i="26" s="1"/>
  <c r="J17" i="26"/>
  <c r="K17" i="26" s="1"/>
  <c r="J47" i="26"/>
  <c r="K47" i="26" s="1"/>
  <c r="J70" i="26"/>
  <c r="K70" i="26" s="1"/>
  <c r="J23" i="26"/>
  <c r="K23" i="26" s="1"/>
  <c r="J27" i="26"/>
  <c r="K27" i="26" s="1"/>
  <c r="J13" i="26"/>
  <c r="K13" i="26" s="1"/>
  <c r="J14" i="26"/>
  <c r="K14" i="26" s="1"/>
  <c r="J30" i="26"/>
  <c r="K30" i="26" s="1"/>
  <c r="J31" i="26"/>
  <c r="K31" i="26" s="1"/>
  <c r="J52" i="26"/>
  <c r="K52" i="26" s="1"/>
  <c r="J64" i="26"/>
  <c r="K64" i="26" s="1"/>
  <c r="J78" i="26"/>
  <c r="K78" i="26" s="1"/>
  <c r="J5" i="26"/>
  <c r="K5" i="26" s="1"/>
  <c r="J44" i="26"/>
  <c r="K44" i="26" s="1"/>
  <c r="J33" i="26"/>
  <c r="K33" i="26" s="1"/>
  <c r="J38" i="26"/>
  <c r="K38" i="26" s="1"/>
  <c r="J46" i="26"/>
  <c r="K46" i="26" s="1"/>
  <c r="J57" i="26"/>
  <c r="K57" i="26" s="1"/>
  <c r="J69" i="26"/>
  <c r="K69" i="26" s="1"/>
  <c r="J76" i="26"/>
  <c r="K76" i="26" s="1"/>
  <c r="F83" i="26"/>
  <c r="J21" i="26"/>
  <c r="K21" i="26" s="1"/>
  <c r="J12" i="26"/>
  <c r="K12" i="26" s="1"/>
  <c r="L83" i="26"/>
  <c r="J22" i="26"/>
  <c r="K22" i="26" s="1"/>
  <c r="J71" i="26"/>
  <c r="K71" i="26" s="1"/>
  <c r="J24" i="26"/>
  <c r="K24" i="26" s="1"/>
  <c r="J25" i="26"/>
  <c r="K25" i="26" s="1"/>
  <c r="J50" i="26"/>
  <c r="K50" i="26" s="1"/>
  <c r="J55" i="26"/>
  <c r="K55" i="26" s="1"/>
  <c r="J61" i="26"/>
  <c r="K61" i="26" s="1"/>
  <c r="J37" i="26"/>
  <c r="K37" i="26" s="1"/>
  <c r="J43" i="26"/>
  <c r="K43" i="26" s="1"/>
  <c r="J48" i="26"/>
  <c r="K48" i="26" s="1"/>
  <c r="J53" i="26"/>
  <c r="K53" i="26" s="1"/>
  <c r="J58" i="26"/>
  <c r="K58" i="26" s="1"/>
  <c r="J67" i="26"/>
  <c r="K67" i="26" s="1"/>
  <c r="J75" i="26"/>
  <c r="K75" i="26" s="1"/>
  <c r="J81" i="26"/>
  <c r="K81" i="26" s="1"/>
  <c r="J29" i="26"/>
  <c r="K29" i="26" s="1"/>
  <c r="J34" i="26"/>
  <c r="K34" i="26" s="1"/>
  <c r="D83" i="24"/>
  <c r="D93" i="24" s="1"/>
  <c r="U39" i="14" l="1"/>
  <c r="M29" i="26"/>
  <c r="U29" i="14"/>
  <c r="M81" i="26"/>
  <c r="U81" i="14"/>
  <c r="M51" i="26"/>
  <c r="U51" i="14"/>
  <c r="M34" i="26"/>
  <c r="U34" i="14"/>
  <c r="M43" i="26"/>
  <c r="U43" i="14"/>
  <c r="M22" i="26"/>
  <c r="U22" i="14"/>
  <c r="M46" i="26"/>
  <c r="U46" i="14"/>
  <c r="M31" i="26"/>
  <c r="U31" i="14"/>
  <c r="M17" i="26"/>
  <c r="U17" i="14"/>
  <c r="M11" i="26"/>
  <c r="U11" i="14"/>
  <c r="M49" i="26"/>
  <c r="U49" i="14"/>
  <c r="M40" i="26"/>
  <c r="U40" i="14"/>
  <c r="M79" i="26"/>
  <c r="U79" i="14"/>
  <c r="M30" i="26"/>
  <c r="U30" i="14"/>
  <c r="M59" i="26"/>
  <c r="U59" i="14"/>
  <c r="M12" i="26"/>
  <c r="U12" i="14"/>
  <c r="M36" i="26"/>
  <c r="U36" i="14"/>
  <c r="M21" i="26"/>
  <c r="U21" i="14"/>
  <c r="M44" i="26"/>
  <c r="U44" i="14"/>
  <c r="M13" i="26"/>
  <c r="U13" i="14"/>
  <c r="M63" i="26"/>
  <c r="U63" i="14"/>
  <c r="M41" i="26"/>
  <c r="U41" i="14"/>
  <c r="M54" i="26"/>
  <c r="U54" i="14"/>
  <c r="M32" i="26"/>
  <c r="U32" i="14"/>
  <c r="M68" i="26"/>
  <c r="U68" i="14"/>
  <c r="M72" i="26"/>
  <c r="U72" i="14"/>
  <c r="M55" i="26"/>
  <c r="U55" i="14"/>
  <c r="M5" i="26"/>
  <c r="U5" i="14"/>
  <c r="M9" i="26"/>
  <c r="U9" i="14"/>
  <c r="M26" i="26"/>
  <c r="U26" i="14"/>
  <c r="M19" i="26"/>
  <c r="U19" i="14"/>
  <c r="M38" i="26"/>
  <c r="U38" i="14"/>
  <c r="M80" i="26"/>
  <c r="U80" i="14"/>
  <c r="M14" i="26"/>
  <c r="U14" i="14"/>
  <c r="M50" i="26"/>
  <c r="U50" i="14"/>
  <c r="M25" i="26"/>
  <c r="U25" i="14"/>
  <c r="M23" i="26"/>
  <c r="U23" i="14"/>
  <c r="M18" i="26"/>
  <c r="U18" i="14"/>
  <c r="M35" i="26"/>
  <c r="U35" i="14"/>
  <c r="M28" i="26"/>
  <c r="U28" i="14"/>
  <c r="M15" i="26"/>
  <c r="U15" i="14"/>
  <c r="M61" i="26"/>
  <c r="U61" i="14"/>
  <c r="M73" i="26"/>
  <c r="U73" i="14"/>
  <c r="M75" i="26"/>
  <c r="U75" i="14"/>
  <c r="M27" i="26"/>
  <c r="U27" i="14"/>
  <c r="M76" i="26"/>
  <c r="U76" i="14"/>
  <c r="M53" i="26"/>
  <c r="U53" i="14"/>
  <c r="M24" i="26"/>
  <c r="U24" i="14"/>
  <c r="M69" i="26"/>
  <c r="U69" i="14"/>
  <c r="M64" i="26"/>
  <c r="U64" i="14"/>
  <c r="M70" i="26"/>
  <c r="U70" i="14"/>
  <c r="M56" i="26"/>
  <c r="U56" i="14"/>
  <c r="M20" i="26"/>
  <c r="U20" i="14"/>
  <c r="M74" i="26"/>
  <c r="U74" i="14"/>
  <c r="M6" i="26"/>
  <c r="U6" i="14"/>
  <c r="M37" i="26"/>
  <c r="U37" i="14"/>
  <c r="M77" i="26"/>
  <c r="U77" i="14"/>
  <c r="M33" i="26"/>
  <c r="U33" i="14"/>
  <c r="M67" i="26"/>
  <c r="U67" i="14"/>
  <c r="M58" i="26"/>
  <c r="U58" i="14"/>
  <c r="M78" i="26"/>
  <c r="U78" i="14"/>
  <c r="M48" i="26"/>
  <c r="U48" i="14"/>
  <c r="M71" i="26"/>
  <c r="U71" i="14"/>
  <c r="M57" i="26"/>
  <c r="U57" i="14"/>
  <c r="M52" i="26"/>
  <c r="U52" i="14"/>
  <c r="M47" i="26"/>
  <c r="U47" i="14"/>
  <c r="M16" i="26"/>
  <c r="U16" i="14"/>
  <c r="M82" i="26"/>
  <c r="U82" i="14"/>
  <c r="M65" i="26"/>
  <c r="U65" i="14"/>
  <c r="M60" i="26"/>
  <c r="U60" i="14"/>
  <c r="J8" i="26"/>
  <c r="K8" i="26" s="1"/>
  <c r="E83" i="26"/>
  <c r="H83" i="26"/>
  <c r="J4" i="26"/>
  <c r="I83" i="26"/>
  <c r="H83" i="18"/>
  <c r="I83" i="18"/>
  <c r="E5" i="18"/>
  <c r="E82" i="18"/>
  <c r="E4" i="18"/>
  <c r="M5" i="8"/>
  <c r="M83" i="8" s="1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4" i="8"/>
  <c r="H83" i="8"/>
  <c r="M8" i="26" l="1"/>
  <c r="U8" i="14"/>
  <c r="J83" i="26"/>
  <c r="K4" i="26"/>
  <c r="U4" i="14" s="1"/>
  <c r="V88" i="24"/>
  <c r="V92" i="24"/>
  <c r="K83" i="26" l="1"/>
  <c r="K85" i="26" s="1"/>
  <c r="U84" i="14" s="1"/>
  <c r="M4" i="26"/>
  <c r="M83" i="26" s="1"/>
  <c r="S88" i="7" l="1"/>
  <c r="R91" i="7"/>
  <c r="R90" i="7"/>
  <c r="R89" i="7"/>
  <c r="N49" i="10"/>
  <c r="N53" i="10"/>
  <c r="N69" i="10"/>
  <c r="N81" i="10"/>
  <c r="N27" i="10"/>
  <c r="N35" i="10"/>
  <c r="N19" i="10"/>
  <c r="N7" i="10"/>
  <c r="N4" i="10"/>
  <c r="N5" i="10"/>
  <c r="N13" i="10"/>
  <c r="N14" i="10"/>
  <c r="N18" i="10"/>
  <c r="N22" i="10"/>
  <c r="N23" i="10"/>
  <c r="N26" i="10"/>
  <c r="N37" i="10"/>
  <c r="N41" i="10"/>
  <c r="N42" i="10"/>
  <c r="N45" i="10"/>
  <c r="N50" i="10"/>
  <c r="N55" i="10"/>
  <c r="N58" i="10"/>
  <c r="N59" i="10"/>
  <c r="N63" i="10"/>
  <c r="N73" i="10"/>
  <c r="N77" i="10"/>
  <c r="N82" i="10"/>
  <c r="N6" i="10"/>
  <c r="N8" i="10"/>
  <c r="N10" i="10"/>
  <c r="N11" i="10"/>
  <c r="N15" i="10"/>
  <c r="N16" i="10"/>
  <c r="N20" i="10"/>
  <c r="N21" i="10"/>
  <c r="N24" i="10"/>
  <c r="N25" i="10"/>
  <c r="N28" i="10"/>
  <c r="N29" i="10"/>
  <c r="N30" i="10"/>
  <c r="N31" i="10"/>
  <c r="N32" i="10"/>
  <c r="N33" i="10"/>
  <c r="N34" i="10"/>
  <c r="N36" i="10"/>
  <c r="N38" i="10"/>
  <c r="N39" i="10"/>
  <c r="N40" i="10"/>
  <c r="N43" i="10"/>
  <c r="N44" i="10"/>
  <c r="N47" i="10"/>
  <c r="N48" i="10"/>
  <c r="N51" i="10"/>
  <c r="N52" i="10"/>
  <c r="N56" i="10"/>
  <c r="N57" i="10"/>
  <c r="N60" i="10"/>
  <c r="N61" i="10"/>
  <c r="N64" i="10"/>
  <c r="N65" i="10"/>
  <c r="N66" i="10"/>
  <c r="N67" i="10"/>
  <c r="N68" i="10"/>
  <c r="N71" i="10"/>
  <c r="N72" i="10"/>
  <c r="N74" i="10"/>
  <c r="N75" i="10"/>
  <c r="N76" i="10"/>
  <c r="N79" i="10"/>
  <c r="N80" i="10"/>
  <c r="J10" i="10"/>
  <c r="J18" i="10"/>
  <c r="J26" i="10"/>
  <c r="J34" i="10"/>
  <c r="K34" i="10" s="1"/>
  <c r="J42" i="10"/>
  <c r="K42" i="10" s="1"/>
  <c r="J50" i="10"/>
  <c r="J58" i="10"/>
  <c r="J66" i="10"/>
  <c r="K66" i="10" s="1"/>
  <c r="J74" i="10"/>
  <c r="J82" i="10"/>
  <c r="J5" i="10"/>
  <c r="K5" i="10" s="1"/>
  <c r="J6" i="10"/>
  <c r="K6" i="10" s="1"/>
  <c r="J7" i="10"/>
  <c r="K7" i="10" s="1"/>
  <c r="J8" i="10"/>
  <c r="K8" i="10" s="1"/>
  <c r="J9" i="10"/>
  <c r="J11" i="10"/>
  <c r="J12" i="10"/>
  <c r="J13" i="10"/>
  <c r="K13" i="10" s="1"/>
  <c r="J14" i="10"/>
  <c r="J15" i="10"/>
  <c r="K15" i="10" s="1"/>
  <c r="J16" i="10"/>
  <c r="K16" i="10" s="1"/>
  <c r="J17" i="10"/>
  <c r="J19" i="10"/>
  <c r="J20" i="10"/>
  <c r="J21" i="10"/>
  <c r="K21" i="10" s="1"/>
  <c r="J22" i="10"/>
  <c r="J23" i="10"/>
  <c r="K23" i="10" s="1"/>
  <c r="J24" i="10"/>
  <c r="K24" i="10" s="1"/>
  <c r="J25" i="10"/>
  <c r="K25" i="10" s="1"/>
  <c r="J27" i="10"/>
  <c r="J28" i="10"/>
  <c r="J29" i="10"/>
  <c r="K29" i="10" s="1"/>
  <c r="J30" i="10"/>
  <c r="J31" i="10"/>
  <c r="J32" i="10"/>
  <c r="K32" i="10" s="1"/>
  <c r="J33" i="10"/>
  <c r="K33" i="10" s="1"/>
  <c r="J35" i="10"/>
  <c r="K35" i="10" s="1"/>
  <c r="J36" i="10"/>
  <c r="J37" i="10"/>
  <c r="K37" i="10" s="1"/>
  <c r="J38" i="10"/>
  <c r="J39" i="10"/>
  <c r="J40" i="10"/>
  <c r="K40" i="10" s="1"/>
  <c r="J41" i="10"/>
  <c r="K41" i="10" s="1"/>
  <c r="J43" i="10"/>
  <c r="K43" i="10" s="1"/>
  <c r="J44" i="10"/>
  <c r="J45" i="10"/>
  <c r="K45" i="10" s="1"/>
  <c r="J46" i="10"/>
  <c r="J47" i="10"/>
  <c r="J48" i="10"/>
  <c r="K48" i="10" s="1"/>
  <c r="J49" i="10"/>
  <c r="J51" i="10"/>
  <c r="J52" i="10"/>
  <c r="K52" i="10" s="1"/>
  <c r="J53" i="10"/>
  <c r="K53" i="10" s="1"/>
  <c r="J54" i="10"/>
  <c r="J55" i="10"/>
  <c r="J56" i="10"/>
  <c r="K56" i="10" s="1"/>
  <c r="J57" i="10"/>
  <c r="J59" i="10"/>
  <c r="J60" i="10"/>
  <c r="K60" i="10" s="1"/>
  <c r="J61" i="10"/>
  <c r="K61" i="10" s="1"/>
  <c r="J62" i="10"/>
  <c r="K62" i="10" s="1"/>
  <c r="J63" i="10"/>
  <c r="J64" i="10"/>
  <c r="K64" i="10" s="1"/>
  <c r="J65" i="10"/>
  <c r="J67" i="10"/>
  <c r="J68" i="10"/>
  <c r="J69" i="10"/>
  <c r="K69" i="10" s="1"/>
  <c r="J70" i="10"/>
  <c r="K70" i="10" s="1"/>
  <c r="J71" i="10"/>
  <c r="K71" i="10" s="1"/>
  <c r="J72" i="10"/>
  <c r="K72" i="10" s="1"/>
  <c r="J73" i="10"/>
  <c r="J75" i="10"/>
  <c r="J76" i="10"/>
  <c r="J77" i="10"/>
  <c r="K77" i="10" s="1"/>
  <c r="J78" i="10"/>
  <c r="J79" i="10"/>
  <c r="K79" i="10" s="1"/>
  <c r="J80" i="10"/>
  <c r="K80" i="10" s="1"/>
  <c r="J81" i="10"/>
  <c r="J4" i="10"/>
  <c r="K9" i="10"/>
  <c r="K10" i="10"/>
  <c r="K11" i="10"/>
  <c r="K12" i="10"/>
  <c r="K14" i="10"/>
  <c r="K17" i="10"/>
  <c r="K18" i="10"/>
  <c r="K19" i="10"/>
  <c r="K20" i="10"/>
  <c r="K22" i="10"/>
  <c r="K26" i="10"/>
  <c r="K27" i="10"/>
  <c r="K28" i="10"/>
  <c r="K30" i="10"/>
  <c r="K31" i="10"/>
  <c r="K36" i="10"/>
  <c r="K38" i="10"/>
  <c r="K39" i="10"/>
  <c r="K44" i="10"/>
  <c r="K46" i="10"/>
  <c r="K47" i="10"/>
  <c r="K49" i="10"/>
  <c r="K50" i="10"/>
  <c r="K51" i="10"/>
  <c r="K54" i="10"/>
  <c r="K55" i="10"/>
  <c r="K57" i="10"/>
  <c r="K58" i="10"/>
  <c r="K59" i="10"/>
  <c r="K63" i="10"/>
  <c r="K65" i="10"/>
  <c r="K67" i="10"/>
  <c r="K68" i="10"/>
  <c r="K73" i="10"/>
  <c r="K74" i="10"/>
  <c r="K75" i="10"/>
  <c r="K76" i="10"/>
  <c r="K78" i="10"/>
  <c r="K81" i="10"/>
  <c r="K82" i="10"/>
  <c r="F83" i="10" l="1"/>
  <c r="K4" i="10"/>
  <c r="N12" i="10"/>
  <c r="N78" i="10"/>
  <c r="N70" i="10"/>
  <c r="N62" i="10"/>
  <c r="N54" i="10"/>
  <c r="N46" i="10"/>
  <c r="N17" i="10"/>
  <c r="N9" i="10"/>
  <c r="M83" i="10"/>
  <c r="C93" i="22" l="1"/>
  <c r="C95" i="22" l="1"/>
  <c r="Y16" i="22" l="1"/>
  <c r="Y5" i="22"/>
  <c r="Y6" i="22"/>
  <c r="Y7" i="22"/>
  <c r="Y8" i="22"/>
  <c r="Y9" i="22"/>
  <c r="Y10" i="22"/>
  <c r="Y11" i="22"/>
  <c r="Y12" i="22"/>
  <c r="Y13" i="22"/>
  <c r="Y14" i="22"/>
  <c r="Y15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4" i="22"/>
  <c r="AT8" i="22"/>
  <c r="AT16" i="22"/>
  <c r="AT24" i="22"/>
  <c r="AT32" i="22"/>
  <c r="AT40" i="22"/>
  <c r="AT48" i="22"/>
  <c r="AT56" i="22"/>
  <c r="AT64" i="22"/>
  <c r="AT72" i="22"/>
  <c r="AT80" i="22"/>
  <c r="C88" i="22"/>
  <c r="AT68" i="22" l="1"/>
  <c r="AT67" i="22"/>
  <c r="AT51" i="22"/>
  <c r="AT35" i="22"/>
  <c r="AT27" i="22"/>
  <c r="AT11" i="22"/>
  <c r="AT82" i="22"/>
  <c r="AT74" i="22"/>
  <c r="AT66" i="22"/>
  <c r="AT58" i="22"/>
  <c r="AT50" i="22"/>
  <c r="AT42" i="22"/>
  <c r="AT34" i="22"/>
  <c r="AT26" i="22"/>
  <c r="AT18" i="22"/>
  <c r="AT10" i="22"/>
  <c r="AT75" i="22"/>
  <c r="AT59" i="22"/>
  <c r="AT81" i="22"/>
  <c r="AT73" i="22"/>
  <c r="AT65" i="22"/>
  <c r="AT57" i="22"/>
  <c r="AT49" i="22"/>
  <c r="AT41" i="22"/>
  <c r="AT33" i="22"/>
  <c r="AT25" i="22"/>
  <c r="AT17" i="22"/>
  <c r="AT9" i="22"/>
  <c r="AT79" i="22"/>
  <c r="AT71" i="22"/>
  <c r="AT63" i="22"/>
  <c r="AT55" i="22"/>
  <c r="AT47" i="22"/>
  <c r="AT39" i="22"/>
  <c r="AT31" i="22"/>
  <c r="AT23" i="22"/>
  <c r="AT15" i="22"/>
  <c r="AT7" i="22"/>
  <c r="AT78" i="22"/>
  <c r="AT62" i="22"/>
  <c r="AT46" i="22"/>
  <c r="AT30" i="22"/>
  <c r="AT22" i="22"/>
  <c r="AT14" i="22"/>
  <c r="AT6" i="22"/>
  <c r="AT70" i="22"/>
  <c r="AT54" i="22"/>
  <c r="AT38" i="22"/>
  <c r="AT77" i="22"/>
  <c r="AT69" i="22"/>
  <c r="AT61" i="22"/>
  <c r="AT53" i="22"/>
  <c r="AT45" i="22"/>
  <c r="AT37" i="22"/>
  <c r="AT29" i="22"/>
  <c r="AT21" i="22"/>
  <c r="AT13" i="22"/>
  <c r="AT5" i="22"/>
  <c r="AT60" i="22"/>
  <c r="AT52" i="22"/>
  <c r="AT44" i="22"/>
  <c r="AT36" i="22"/>
  <c r="AT28" i="22"/>
  <c r="AT20" i="22"/>
  <c r="AT12" i="22"/>
  <c r="AT4" i="22"/>
  <c r="AT76" i="22"/>
  <c r="AT43" i="22"/>
  <c r="AT19" i="22"/>
  <c r="O84" i="10" l="1"/>
  <c r="AC83" i="24" l="1"/>
  <c r="AD83" i="24"/>
  <c r="AE83" i="24"/>
  <c r="AF83" i="24"/>
  <c r="X84" i="24" l="1"/>
  <c r="N48" i="3" l="1"/>
  <c r="N55" i="3"/>
  <c r="N23" i="3"/>
  <c r="N5" i="3"/>
  <c r="N19" i="3"/>
  <c r="N12" i="3"/>
  <c r="N75" i="3"/>
  <c r="N67" i="3"/>
  <c r="N59" i="3"/>
  <c r="N43" i="3"/>
  <c r="N35" i="3"/>
  <c r="N63" i="3"/>
  <c r="N27" i="3"/>
  <c r="N68" i="3"/>
  <c r="N65" i="3"/>
  <c r="N30" i="3"/>
  <c r="N62" i="3"/>
  <c r="N79" i="3"/>
  <c r="N71" i="3"/>
  <c r="N36" i="3"/>
  <c r="N33" i="3"/>
  <c r="N74" i="3"/>
  <c r="N47" i="3"/>
  <c r="N39" i="3"/>
  <c r="N32" i="3"/>
  <c r="N31" i="3"/>
  <c r="N77" i="3"/>
  <c r="N42" i="3"/>
  <c r="N80" i="3"/>
  <c r="N45" i="3"/>
  <c r="N51" i="3"/>
  <c r="N60" i="3"/>
  <c r="N57" i="3"/>
  <c r="N54" i="3"/>
  <c r="N25" i="3"/>
  <c r="N22" i="3"/>
  <c r="N11" i="3"/>
  <c r="N72" i="3"/>
  <c r="N69" i="3"/>
  <c r="N66" i="3"/>
  <c r="N40" i="3"/>
  <c r="N37" i="3"/>
  <c r="N34" i="3"/>
  <c r="N24" i="3"/>
  <c r="N14" i="3"/>
  <c r="N7" i="3"/>
  <c r="N6" i="3"/>
  <c r="N78" i="3"/>
  <c r="N52" i="3"/>
  <c r="N49" i="3"/>
  <c r="N46" i="3"/>
  <c r="N17" i="3"/>
  <c r="N9" i="3"/>
  <c r="N64" i="3"/>
  <c r="N61" i="3"/>
  <c r="N58" i="3"/>
  <c r="N29" i="3"/>
  <c r="N26" i="3"/>
  <c r="N16" i="3"/>
  <c r="N8" i="3"/>
  <c r="N81" i="3"/>
  <c r="N76" i="3"/>
  <c r="N73" i="3"/>
  <c r="N70" i="3"/>
  <c r="N44" i="3"/>
  <c r="N41" i="3"/>
  <c r="N38" i="3"/>
  <c r="N28" i="3"/>
  <c r="N15" i="3"/>
  <c r="N82" i="3"/>
  <c r="N56" i="3"/>
  <c r="N53" i="3"/>
  <c r="N50" i="3"/>
  <c r="N21" i="3"/>
  <c r="N18" i="3"/>
  <c r="N10" i="3"/>
  <c r="N20" i="3"/>
  <c r="N13" i="3"/>
  <c r="F83" i="3" l="1"/>
  <c r="T84" i="7"/>
  <c r="M85" i="7" s="1"/>
  <c r="V91" i="24" l="1"/>
  <c r="H10" i="25" l="1"/>
  <c r="W19" i="14"/>
  <c r="W55" i="14"/>
  <c r="W50" i="14"/>
  <c r="W21" i="14"/>
  <c r="H9" i="25"/>
  <c r="G9" i="25"/>
  <c r="F9" i="25"/>
  <c r="E9" i="25"/>
  <c r="D9" i="25"/>
  <c r="C9" i="25"/>
  <c r="B9" i="25"/>
  <c r="H11" i="25" l="1"/>
  <c r="W84" i="14" s="1"/>
  <c r="W83" i="14"/>
  <c r="W85" i="14" l="1"/>
  <c r="E83" i="10" l="1"/>
  <c r="F84" i="10" s="1"/>
  <c r="J83" i="10" l="1"/>
  <c r="J85" i="10"/>
  <c r="G83" i="8"/>
  <c r="I85" i="10" l="1"/>
  <c r="L83" i="8"/>
  <c r="I83" i="10"/>
  <c r="AX84" i="22"/>
  <c r="X86" i="14"/>
  <c r="AW13" i="22" l="1"/>
  <c r="L13" i="14" s="1"/>
  <c r="AW18" i="22"/>
  <c r="L18" i="14" s="1"/>
  <c r="AP24" i="22"/>
  <c r="AW29" i="22"/>
  <c r="L29" i="14" s="1"/>
  <c r="AW42" i="22"/>
  <c r="L42" i="14" s="1"/>
  <c r="AP42" i="22"/>
  <c r="AW45" i="22"/>
  <c r="L45" i="14" s="1"/>
  <c r="AW53" i="22"/>
  <c r="L53" i="14" s="1"/>
  <c r="AW69" i="22" l="1"/>
  <c r="L69" i="14" s="1"/>
  <c r="AW76" i="22"/>
  <c r="L76" i="14" s="1"/>
  <c r="AW68" i="22"/>
  <c r="L68" i="14" s="1"/>
  <c r="AW60" i="22"/>
  <c r="L60" i="14" s="1"/>
  <c r="AW52" i="22"/>
  <c r="L52" i="14" s="1"/>
  <c r="AW44" i="22"/>
  <c r="L44" i="14" s="1"/>
  <c r="AW36" i="22"/>
  <c r="L36" i="14" s="1"/>
  <c r="AW28" i="22"/>
  <c r="L28" i="14" s="1"/>
  <c r="AW20" i="22"/>
  <c r="L20" i="14" s="1"/>
  <c r="AW12" i="22"/>
  <c r="L12" i="14" s="1"/>
  <c r="AW77" i="22"/>
  <c r="L77" i="14" s="1"/>
  <c r="AW75" i="22"/>
  <c r="L75" i="14" s="1"/>
  <c r="AW59" i="22"/>
  <c r="L59" i="14" s="1"/>
  <c r="AW27" i="22"/>
  <c r="L27" i="14" s="1"/>
  <c r="AW74" i="22"/>
  <c r="L74" i="14" s="1"/>
  <c r="AW50" i="22"/>
  <c r="L50" i="14" s="1"/>
  <c r="AW81" i="22"/>
  <c r="L81" i="14" s="1"/>
  <c r="AW73" i="22"/>
  <c r="L73" i="14" s="1"/>
  <c r="AW65" i="22"/>
  <c r="L65" i="14" s="1"/>
  <c r="AW57" i="22"/>
  <c r="L57" i="14" s="1"/>
  <c r="AW49" i="22"/>
  <c r="L49" i="14" s="1"/>
  <c r="AW41" i="22"/>
  <c r="L41" i="14" s="1"/>
  <c r="AW33" i="22"/>
  <c r="L33" i="14" s="1"/>
  <c r="AW25" i="22"/>
  <c r="L25" i="14" s="1"/>
  <c r="AW17" i="22"/>
  <c r="L17" i="14" s="1"/>
  <c r="AW9" i="22"/>
  <c r="L9" i="14" s="1"/>
  <c r="AW37" i="22"/>
  <c r="L37" i="14" s="1"/>
  <c r="AW82" i="22"/>
  <c r="L82" i="14" s="1"/>
  <c r="AW34" i="22"/>
  <c r="L34" i="14" s="1"/>
  <c r="AW10" i="22"/>
  <c r="L10" i="14" s="1"/>
  <c r="AW80" i="22"/>
  <c r="L80" i="14" s="1"/>
  <c r="AW72" i="22"/>
  <c r="L72" i="14" s="1"/>
  <c r="AW48" i="22"/>
  <c r="L48" i="14" s="1"/>
  <c r="AW32" i="22"/>
  <c r="L32" i="14" s="1"/>
  <c r="AW24" i="22"/>
  <c r="L24" i="14" s="1"/>
  <c r="AW16" i="22"/>
  <c r="L16" i="14" s="1"/>
  <c r="AW8" i="22"/>
  <c r="L8" i="14" s="1"/>
  <c r="AW21" i="22"/>
  <c r="L21" i="14" s="1"/>
  <c r="AW5" i="22"/>
  <c r="L5" i="14" s="1"/>
  <c r="AW43" i="22"/>
  <c r="L43" i="14" s="1"/>
  <c r="AW19" i="22"/>
  <c r="L19" i="14" s="1"/>
  <c r="AW11" i="22"/>
  <c r="L11" i="14" s="1"/>
  <c r="AW58" i="22"/>
  <c r="L58" i="14" s="1"/>
  <c r="AW26" i="22"/>
  <c r="L26" i="14" s="1"/>
  <c r="AW64" i="22"/>
  <c r="L64" i="14" s="1"/>
  <c r="AW56" i="22"/>
  <c r="L56" i="14" s="1"/>
  <c r="AW40" i="22"/>
  <c r="L40" i="14" s="1"/>
  <c r="AW79" i="22"/>
  <c r="L79" i="14" s="1"/>
  <c r="AW71" i="22"/>
  <c r="L71" i="14" s="1"/>
  <c r="AW63" i="22"/>
  <c r="L63" i="14" s="1"/>
  <c r="AW55" i="22"/>
  <c r="L55" i="14" s="1"/>
  <c r="AW47" i="22"/>
  <c r="L47" i="14" s="1"/>
  <c r="AW39" i="22"/>
  <c r="L39" i="14" s="1"/>
  <c r="AW31" i="22"/>
  <c r="L31" i="14" s="1"/>
  <c r="AW23" i="22"/>
  <c r="L23" i="14" s="1"/>
  <c r="AW15" i="22"/>
  <c r="L15" i="14" s="1"/>
  <c r="AW7" i="22"/>
  <c r="L7" i="14" s="1"/>
  <c r="AW61" i="22"/>
  <c r="L61" i="14" s="1"/>
  <c r="AW67" i="22"/>
  <c r="L67" i="14" s="1"/>
  <c r="AW51" i="22"/>
  <c r="L51" i="14" s="1"/>
  <c r="AW35" i="22"/>
  <c r="L35" i="14" s="1"/>
  <c r="AW4" i="22"/>
  <c r="L4" i="14" s="1"/>
  <c r="AW66" i="22"/>
  <c r="L66" i="14" s="1"/>
  <c r="AW78" i="22"/>
  <c r="L78" i="14" s="1"/>
  <c r="AW70" i="22"/>
  <c r="L70" i="14" s="1"/>
  <c r="AW62" i="22"/>
  <c r="L62" i="14" s="1"/>
  <c r="AW54" i="22"/>
  <c r="L54" i="14" s="1"/>
  <c r="AW46" i="22"/>
  <c r="L46" i="14" s="1"/>
  <c r="AW38" i="22"/>
  <c r="L38" i="14" s="1"/>
  <c r="AW30" i="22"/>
  <c r="L30" i="14" s="1"/>
  <c r="AW22" i="22"/>
  <c r="L22" i="14" s="1"/>
  <c r="AW14" i="22"/>
  <c r="L14" i="14" s="1"/>
  <c r="AW6" i="22"/>
  <c r="L6" i="14" s="1"/>
  <c r="L83" i="14" l="1"/>
  <c r="AW83" i="22"/>
  <c r="L85" i="14" l="1"/>
  <c r="C103" i="22"/>
  <c r="F83" i="8" l="1"/>
  <c r="D83" i="10" l="1"/>
  <c r="E84" i="10" s="1"/>
  <c r="Q3" i="24" l="1"/>
  <c r="X19" i="24" l="1"/>
  <c r="X54" i="24"/>
  <c r="X24" i="24"/>
  <c r="X40" i="24"/>
  <c r="X66" i="24"/>
  <c r="X27" i="24"/>
  <c r="X67" i="24"/>
  <c r="X22" i="24"/>
  <c r="X39" i="24"/>
  <c r="X58" i="24"/>
  <c r="X79" i="24"/>
  <c r="X53" i="24"/>
  <c r="X31" i="24"/>
  <c r="X51" i="24"/>
  <c r="X11" i="24"/>
  <c r="X10" i="24"/>
  <c r="X18" i="24"/>
  <c r="V90" i="24"/>
  <c r="R3" i="24"/>
  <c r="S3" i="24" s="1"/>
  <c r="T3" i="24" s="1"/>
  <c r="U3" i="24" s="1"/>
  <c r="K83" i="8"/>
  <c r="X42" i="24" l="1"/>
  <c r="X68" i="24"/>
  <c r="X16" i="24"/>
  <c r="X29" i="24"/>
  <c r="X56" i="24"/>
  <c r="X14" i="24"/>
  <c r="X35" i="24"/>
  <c r="X44" i="24"/>
  <c r="X72" i="24"/>
  <c r="X8" i="24"/>
  <c r="X70" i="24"/>
  <c r="X46" i="24"/>
  <c r="X6" i="24"/>
  <c r="X77" i="24"/>
  <c r="X34" i="24"/>
  <c r="X63" i="24"/>
  <c r="X50" i="24"/>
  <c r="X20" i="24"/>
  <c r="X49" i="24"/>
  <c r="X78" i="24"/>
  <c r="X80" i="24"/>
  <c r="X37" i="24"/>
  <c r="X75" i="24"/>
  <c r="X60" i="24"/>
  <c r="X23" i="24"/>
  <c r="X52" i="24"/>
  <c r="X30" i="24"/>
  <c r="X26" i="24"/>
  <c r="X65" i="24"/>
  <c r="X13" i="24"/>
  <c r="X41" i="24"/>
  <c r="X43" i="24"/>
  <c r="X81" i="24"/>
  <c r="X59" i="24"/>
  <c r="X28" i="24"/>
  <c r="X57" i="24"/>
  <c r="X15" i="24"/>
  <c r="X33" i="24"/>
  <c r="X55" i="24"/>
  <c r="X5" i="24"/>
  <c r="X82" i="24"/>
  <c r="X32" i="24"/>
  <c r="X71" i="24"/>
  <c r="X17" i="24"/>
  <c r="X25" i="24"/>
  <c r="X48" i="24"/>
  <c r="X7" i="24"/>
  <c r="X73" i="24"/>
  <c r="X45" i="24"/>
  <c r="X74" i="24"/>
  <c r="X69" i="24"/>
  <c r="X21" i="24"/>
  <c r="X61" i="24"/>
  <c r="X9" i="24"/>
  <c r="X62" i="24"/>
  <c r="X38" i="24"/>
  <c r="X76" i="24"/>
  <c r="X4" i="24"/>
  <c r="X36" i="24"/>
  <c r="X64" i="24"/>
  <c r="X12" i="24"/>
  <c r="X47" i="24"/>
  <c r="L83" i="22"/>
  <c r="J94" i="3" l="1"/>
  <c r="K94" i="3" s="1"/>
  <c r="L94" i="3" s="1"/>
  <c r="V89" i="24" l="1"/>
  <c r="AF83" i="3"/>
  <c r="C87" i="20" l="1"/>
  <c r="Y20" i="3" l="1"/>
  <c r="X20" i="3"/>
  <c r="I100" i="3" l="1"/>
  <c r="J100" i="3" s="1"/>
  <c r="K100" i="3" s="1"/>
  <c r="L100" i="3" s="1"/>
  <c r="I89" i="3"/>
  <c r="J89" i="3" s="1"/>
  <c r="K89" i="3" s="1"/>
  <c r="L89" i="3" s="1"/>
  <c r="I117" i="3"/>
  <c r="J117" i="3" s="1"/>
  <c r="H116" i="3"/>
  <c r="I116" i="3" s="1"/>
  <c r="J116" i="3" l="1"/>
  <c r="I88" i="3"/>
  <c r="J88" i="3" s="1"/>
  <c r="K88" i="3" s="1"/>
  <c r="I87" i="3"/>
  <c r="J87" i="3" s="1"/>
  <c r="K87" i="3" s="1"/>
  <c r="L87" i="3" l="1"/>
  <c r="L88" i="3"/>
  <c r="O83" i="8"/>
  <c r="I83" i="8"/>
  <c r="H85" i="10" l="1"/>
  <c r="H83" i="10"/>
  <c r="AP7" i="22" l="1"/>
  <c r="E83" i="22"/>
  <c r="H5" i="7" l="1"/>
  <c r="S5" i="7" s="1"/>
  <c r="H6" i="7"/>
  <c r="S6" i="7" s="1"/>
  <c r="H7" i="7"/>
  <c r="S7" i="7" s="1"/>
  <c r="H8" i="7"/>
  <c r="S8" i="7" s="1"/>
  <c r="H9" i="7"/>
  <c r="S9" i="7" s="1"/>
  <c r="H10" i="7"/>
  <c r="S10" i="7" s="1"/>
  <c r="H11" i="7"/>
  <c r="S11" i="7" s="1"/>
  <c r="H12" i="7"/>
  <c r="S12" i="7" s="1"/>
  <c r="H13" i="7"/>
  <c r="S13" i="7" s="1"/>
  <c r="H14" i="7"/>
  <c r="S14" i="7" s="1"/>
  <c r="H15" i="7"/>
  <c r="S15" i="7" s="1"/>
  <c r="H16" i="7"/>
  <c r="S16" i="7" s="1"/>
  <c r="H17" i="7"/>
  <c r="S17" i="7" s="1"/>
  <c r="H18" i="7"/>
  <c r="S18" i="7" s="1"/>
  <c r="H19" i="7"/>
  <c r="S19" i="7" s="1"/>
  <c r="H20" i="7"/>
  <c r="S20" i="7" s="1"/>
  <c r="H21" i="7"/>
  <c r="S21" i="7" s="1"/>
  <c r="H22" i="7"/>
  <c r="S22" i="7" s="1"/>
  <c r="H23" i="7"/>
  <c r="S23" i="7" s="1"/>
  <c r="H24" i="7"/>
  <c r="S24" i="7" s="1"/>
  <c r="H25" i="7"/>
  <c r="S25" i="7" s="1"/>
  <c r="H26" i="7"/>
  <c r="S26" i="7" s="1"/>
  <c r="H27" i="7"/>
  <c r="S27" i="7" s="1"/>
  <c r="H28" i="7"/>
  <c r="S28" i="7" s="1"/>
  <c r="H29" i="7"/>
  <c r="S29" i="7" s="1"/>
  <c r="H30" i="7"/>
  <c r="S30" i="7" s="1"/>
  <c r="H31" i="7"/>
  <c r="S31" i="7" s="1"/>
  <c r="H32" i="7"/>
  <c r="S32" i="7" s="1"/>
  <c r="H33" i="7"/>
  <c r="S33" i="7" s="1"/>
  <c r="H34" i="7"/>
  <c r="S34" i="7" s="1"/>
  <c r="H35" i="7"/>
  <c r="S35" i="7" s="1"/>
  <c r="H36" i="7"/>
  <c r="S36" i="7" s="1"/>
  <c r="H37" i="7"/>
  <c r="S37" i="7" s="1"/>
  <c r="H38" i="7"/>
  <c r="S38" i="7" s="1"/>
  <c r="H39" i="7"/>
  <c r="S39" i="7" s="1"/>
  <c r="H40" i="7"/>
  <c r="S40" i="7" s="1"/>
  <c r="H41" i="7"/>
  <c r="S41" i="7" s="1"/>
  <c r="H42" i="7"/>
  <c r="S42" i="7" s="1"/>
  <c r="H43" i="7"/>
  <c r="S43" i="7" s="1"/>
  <c r="H44" i="7"/>
  <c r="S44" i="7" s="1"/>
  <c r="H45" i="7"/>
  <c r="S45" i="7" s="1"/>
  <c r="H46" i="7"/>
  <c r="S46" i="7" s="1"/>
  <c r="H47" i="7"/>
  <c r="S47" i="7" s="1"/>
  <c r="H48" i="7"/>
  <c r="S48" i="7" s="1"/>
  <c r="H49" i="7"/>
  <c r="S49" i="7" s="1"/>
  <c r="H50" i="7"/>
  <c r="S50" i="7" s="1"/>
  <c r="H51" i="7"/>
  <c r="S51" i="7" s="1"/>
  <c r="H52" i="7"/>
  <c r="S52" i="7" s="1"/>
  <c r="H53" i="7"/>
  <c r="S53" i="7" s="1"/>
  <c r="H54" i="7"/>
  <c r="S54" i="7" s="1"/>
  <c r="H55" i="7"/>
  <c r="S55" i="7" s="1"/>
  <c r="H56" i="7"/>
  <c r="S56" i="7" s="1"/>
  <c r="H57" i="7"/>
  <c r="S57" i="7" s="1"/>
  <c r="H58" i="7"/>
  <c r="S58" i="7" s="1"/>
  <c r="H59" i="7"/>
  <c r="S59" i="7" s="1"/>
  <c r="H60" i="7"/>
  <c r="S60" i="7" s="1"/>
  <c r="H61" i="7"/>
  <c r="S61" i="7" s="1"/>
  <c r="H62" i="7"/>
  <c r="S62" i="7" s="1"/>
  <c r="H63" i="7"/>
  <c r="S63" i="7" s="1"/>
  <c r="H64" i="7"/>
  <c r="S64" i="7" s="1"/>
  <c r="H65" i="7"/>
  <c r="S65" i="7" s="1"/>
  <c r="H66" i="7"/>
  <c r="S66" i="7" s="1"/>
  <c r="H67" i="7"/>
  <c r="S67" i="7" s="1"/>
  <c r="H68" i="7"/>
  <c r="S68" i="7" s="1"/>
  <c r="H69" i="7"/>
  <c r="S69" i="7" s="1"/>
  <c r="H70" i="7"/>
  <c r="S70" i="7" s="1"/>
  <c r="H71" i="7"/>
  <c r="S71" i="7" s="1"/>
  <c r="H72" i="7"/>
  <c r="S72" i="7" s="1"/>
  <c r="H73" i="7"/>
  <c r="S73" i="7" s="1"/>
  <c r="H74" i="7"/>
  <c r="S74" i="7" s="1"/>
  <c r="H75" i="7"/>
  <c r="S75" i="7" s="1"/>
  <c r="H76" i="7"/>
  <c r="S76" i="7" s="1"/>
  <c r="H77" i="7"/>
  <c r="S77" i="7" s="1"/>
  <c r="H78" i="7"/>
  <c r="S78" i="7" s="1"/>
  <c r="H79" i="7"/>
  <c r="S79" i="7" s="1"/>
  <c r="H80" i="7"/>
  <c r="S80" i="7" s="1"/>
  <c r="H81" i="7"/>
  <c r="S81" i="7" s="1"/>
  <c r="H82" i="7"/>
  <c r="S82" i="7" s="1"/>
  <c r="H4" i="7"/>
  <c r="S4" i="7" s="1"/>
  <c r="J83" i="8" l="1"/>
  <c r="T84" i="24" l="1"/>
  <c r="T83" i="24"/>
  <c r="E83" i="8"/>
  <c r="T93" i="24" l="1"/>
  <c r="T94" i="24" s="1"/>
  <c r="G83" i="7" l="1"/>
  <c r="T83" i="14" l="1"/>
  <c r="U83" i="7" l="1"/>
  <c r="F84" i="24" l="1"/>
  <c r="G84" i="24"/>
  <c r="H84" i="24"/>
  <c r="I84" i="24"/>
  <c r="J84" i="24"/>
  <c r="K84" i="24"/>
  <c r="L84" i="24"/>
  <c r="M84" i="24"/>
  <c r="P84" i="24"/>
  <c r="Q84" i="24"/>
  <c r="R84" i="24"/>
  <c r="U84" i="24"/>
  <c r="V84" i="24"/>
  <c r="S84" i="24" l="1"/>
  <c r="S4" i="10"/>
  <c r="S77" i="10"/>
  <c r="S73" i="10"/>
  <c r="S69" i="10"/>
  <c r="S65" i="10"/>
  <c r="S61" i="10"/>
  <c r="S57" i="10"/>
  <c r="S53" i="10"/>
  <c r="S49" i="10"/>
  <c r="S45" i="10"/>
  <c r="S41" i="10"/>
  <c r="S33" i="10"/>
  <c r="S29" i="10"/>
  <c r="S25" i="10"/>
  <c r="S21" i="10"/>
  <c r="S17" i="10"/>
  <c r="S13" i="10"/>
  <c r="S9" i="10"/>
  <c r="S5" i="10"/>
  <c r="S79" i="10"/>
  <c r="S75" i="10"/>
  <c r="S71" i="10"/>
  <c r="S67" i="10"/>
  <c r="S63" i="10"/>
  <c r="S59" i="10"/>
  <c r="S55" i="10"/>
  <c r="S51" i="10"/>
  <c r="S47" i="10"/>
  <c r="S43" i="10"/>
  <c r="S39" i="10"/>
  <c r="S35" i="10"/>
  <c r="S31" i="10"/>
  <c r="S27" i="10"/>
  <c r="S23" i="10"/>
  <c r="S19" i="10"/>
  <c r="S15" i="10"/>
  <c r="S11" i="10"/>
  <c r="S7" i="10"/>
  <c r="S82" i="10"/>
  <c r="S78" i="10"/>
  <c r="S74" i="10"/>
  <c r="S70" i="10"/>
  <c r="S66" i="10"/>
  <c r="S62" i="10"/>
  <c r="S58" i="10"/>
  <c r="S54" i="10"/>
  <c r="S50" i="10"/>
  <c r="S46" i="10"/>
  <c r="S42" i="10"/>
  <c r="S38" i="10"/>
  <c r="S34" i="10"/>
  <c r="S30" i="10"/>
  <c r="S26" i="10"/>
  <c r="S22" i="10"/>
  <c r="S18" i="10"/>
  <c r="S14" i="10"/>
  <c r="S10" i="10"/>
  <c r="S6" i="10"/>
  <c r="S81" i="10"/>
  <c r="S37" i="10"/>
  <c r="S80" i="10"/>
  <c r="S76" i="10"/>
  <c r="S72" i="10"/>
  <c r="S68" i="10"/>
  <c r="S64" i="10"/>
  <c r="S60" i="10"/>
  <c r="S56" i="10"/>
  <c r="S52" i="10"/>
  <c r="S48" i="10"/>
  <c r="S44" i="10"/>
  <c r="S40" i="10"/>
  <c r="S36" i="10"/>
  <c r="S32" i="10"/>
  <c r="S28" i="10"/>
  <c r="S24" i="10"/>
  <c r="S20" i="10"/>
  <c r="S16" i="10"/>
  <c r="S12" i="10"/>
  <c r="S8" i="10"/>
  <c r="S83" i="24"/>
  <c r="R83" i="10"/>
  <c r="S93" i="24" l="1"/>
  <c r="S94" i="24" s="1"/>
  <c r="S83" i="10"/>
  <c r="L83" i="10"/>
  <c r="V83" i="24"/>
  <c r="H96" i="3" l="1"/>
  <c r="AE84" i="3"/>
  <c r="K96" i="3" l="1"/>
  <c r="L96" i="3"/>
  <c r="I96" i="3"/>
  <c r="J96" i="3"/>
  <c r="AD83" i="3"/>
  <c r="AC83" i="3"/>
  <c r="H88" i="3" l="1"/>
  <c r="H87" i="3"/>
  <c r="H98" i="3"/>
  <c r="I98" i="3" s="1"/>
  <c r="J98" i="3" s="1"/>
  <c r="K98" i="3" s="1"/>
  <c r="L98" i="3" s="1"/>
  <c r="H99" i="3"/>
  <c r="I99" i="3" s="1"/>
  <c r="J99" i="3" s="1"/>
  <c r="K99" i="3" s="1"/>
  <c r="L99" i="3" s="1"/>
  <c r="H97" i="3"/>
  <c r="I97" i="3" s="1"/>
  <c r="J97" i="3" s="1"/>
  <c r="K97" i="3" s="1"/>
  <c r="L97" i="3" s="1"/>
  <c r="H90" i="3"/>
  <c r="I90" i="3" s="1"/>
  <c r="J90" i="3" s="1"/>
  <c r="K90" i="3" s="1"/>
  <c r="L90" i="3" s="1"/>
  <c r="H89" i="3"/>
  <c r="E107" i="3"/>
  <c r="Z97" i="3" l="1"/>
  <c r="Z99" i="3"/>
  <c r="Z105" i="3"/>
  <c r="Z107" i="3"/>
  <c r="Z98" i="3"/>
  <c r="Z101" i="3"/>
  <c r="Z106" i="3"/>
  <c r="Z92" i="3"/>
  <c r="Z100" i="3"/>
  <c r="Z102" i="3"/>
  <c r="Z108" i="3"/>
  <c r="Z103" i="3"/>
  <c r="Z93" i="3"/>
  <c r="Z104" i="3"/>
  <c r="Z94" i="3"/>
  <c r="H91" i="3"/>
  <c r="I91" i="3"/>
  <c r="J91" i="3" s="1"/>
  <c r="K91" i="3" s="1"/>
  <c r="L91" i="3" s="1"/>
  <c r="Q83" i="3"/>
  <c r="D5" i="19" l="1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4" i="19"/>
  <c r="H83" i="3" l="1"/>
  <c r="N84" i="8"/>
  <c r="F61" i="20"/>
  <c r="F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4" i="20"/>
  <c r="D83" i="20" l="1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4" i="20"/>
  <c r="AK4" i="22" l="1"/>
  <c r="AK75" i="22"/>
  <c r="AK59" i="22"/>
  <c r="AK47" i="22"/>
  <c r="AK31" i="22"/>
  <c r="AK79" i="22"/>
  <c r="AK67" i="22"/>
  <c r="AK63" i="22"/>
  <c r="AK43" i="22"/>
  <c r="AK39" i="22"/>
  <c r="AK35" i="22"/>
  <c r="AK19" i="22"/>
  <c r="AK11" i="22"/>
  <c r="AK7" i="22"/>
  <c r="AK82" i="22"/>
  <c r="AK78" i="22"/>
  <c r="AK74" i="22"/>
  <c r="AK66" i="22"/>
  <c r="AK54" i="22"/>
  <c r="AK42" i="22"/>
  <c r="AK38" i="22"/>
  <c r="AP30" i="22"/>
  <c r="AK30" i="22"/>
  <c r="AK18" i="22"/>
  <c r="AK70" i="22"/>
  <c r="AK62" i="22"/>
  <c r="AK58" i="22"/>
  <c r="AK50" i="22"/>
  <c r="AK46" i="22"/>
  <c r="AK34" i="22"/>
  <c r="AK26" i="22"/>
  <c r="AK22" i="22"/>
  <c r="AK14" i="22"/>
  <c r="AK10" i="22"/>
  <c r="AK6" i="22"/>
  <c r="AK81" i="22"/>
  <c r="AK77" i="22"/>
  <c r="AK73" i="22"/>
  <c r="AK69" i="22"/>
  <c r="AK65" i="22"/>
  <c r="AK61" i="22"/>
  <c r="AK57" i="22"/>
  <c r="AK53" i="22"/>
  <c r="AK49" i="22"/>
  <c r="AK45" i="22"/>
  <c r="AK41" i="22"/>
  <c r="AK37" i="22"/>
  <c r="AK33" i="22"/>
  <c r="AK29" i="22"/>
  <c r="AK25" i="22"/>
  <c r="AK21" i="22"/>
  <c r="AK17" i="22"/>
  <c r="AK13" i="22"/>
  <c r="AK9" i="22"/>
  <c r="AK5" i="22"/>
  <c r="AK71" i="22"/>
  <c r="AK55" i="22"/>
  <c r="AK51" i="22"/>
  <c r="AK27" i="22"/>
  <c r="AK23" i="22"/>
  <c r="AK15" i="22"/>
  <c r="AK80" i="22"/>
  <c r="AK76" i="22"/>
  <c r="AK72" i="22"/>
  <c r="AK68" i="22"/>
  <c r="AK64" i="22"/>
  <c r="AK60" i="22"/>
  <c r="AK56" i="22"/>
  <c r="AK52" i="22"/>
  <c r="AK48" i="22"/>
  <c r="AK44" i="22"/>
  <c r="AK40" i="22"/>
  <c r="AK36" i="22"/>
  <c r="AK32" i="22"/>
  <c r="AK28" i="22"/>
  <c r="AK24" i="22"/>
  <c r="AK20" i="22"/>
  <c r="AK16" i="22"/>
  <c r="AK12" i="22"/>
  <c r="AK8" i="22"/>
  <c r="AL42" i="22" l="1"/>
  <c r="AL78" i="22"/>
  <c r="AL51" i="22"/>
  <c r="AL15" i="22"/>
  <c r="AL55" i="22"/>
  <c r="AL8" i="22"/>
  <c r="AL24" i="22"/>
  <c r="AL40" i="22"/>
  <c r="AL56" i="22"/>
  <c r="AL72" i="22"/>
  <c r="AL17" i="22"/>
  <c r="AL33" i="22"/>
  <c r="AL49" i="22"/>
  <c r="AL65" i="22"/>
  <c r="AL81" i="22"/>
  <c r="AL22" i="22"/>
  <c r="AL50" i="22"/>
  <c r="AL18" i="22"/>
  <c r="AL19" i="22"/>
  <c r="AL63" i="22"/>
  <c r="AL47" i="22"/>
  <c r="AL54" i="22"/>
  <c r="AL82" i="22"/>
  <c r="AL23" i="22"/>
  <c r="AL71" i="22"/>
  <c r="AL12" i="22"/>
  <c r="AL28" i="22"/>
  <c r="AL44" i="22"/>
  <c r="AL60" i="22"/>
  <c r="AL76" i="22"/>
  <c r="AL5" i="22"/>
  <c r="AL21" i="22"/>
  <c r="AL37" i="22"/>
  <c r="AL53" i="22"/>
  <c r="AL69" i="22"/>
  <c r="AL6" i="22"/>
  <c r="AL26" i="22"/>
  <c r="AL58" i="22"/>
  <c r="AL30" i="22"/>
  <c r="AL35" i="22"/>
  <c r="AL67" i="22"/>
  <c r="AL59" i="22"/>
  <c r="AL27" i="22"/>
  <c r="AL66" i="22"/>
  <c r="AL16" i="22"/>
  <c r="AL32" i="22"/>
  <c r="AL48" i="22"/>
  <c r="AL64" i="22"/>
  <c r="AL80" i="22"/>
  <c r="AL9" i="22"/>
  <c r="AL25" i="22"/>
  <c r="AL41" i="22"/>
  <c r="AL57" i="22"/>
  <c r="AL73" i="22"/>
  <c r="AL10" i="22"/>
  <c r="AL34" i="22"/>
  <c r="AL62" i="22"/>
  <c r="AL7" i="22"/>
  <c r="AL39" i="22"/>
  <c r="AL79" i="22"/>
  <c r="AL75" i="22"/>
  <c r="AL38" i="22"/>
  <c r="AL74" i="22"/>
  <c r="AL20" i="22"/>
  <c r="AL36" i="22"/>
  <c r="AL52" i="22"/>
  <c r="AL68" i="22"/>
  <c r="AL13" i="22"/>
  <c r="AL29" i="22"/>
  <c r="AL45" i="22"/>
  <c r="AL61" i="22"/>
  <c r="AL77" i="22"/>
  <c r="AL14" i="22"/>
  <c r="AL46" i="22"/>
  <c r="AL70" i="22"/>
  <c r="AL11" i="22"/>
  <c r="AL43" i="22"/>
  <c r="AL31" i="22"/>
  <c r="AL4" i="22"/>
  <c r="S90" i="7"/>
  <c r="S89" i="7"/>
  <c r="S91" i="7"/>
  <c r="AA83" i="24" l="1"/>
  <c r="AB19" i="24"/>
  <c r="AB34" i="24"/>
  <c r="AB39" i="24"/>
  <c r="AB54" i="24"/>
  <c r="AB68" i="24"/>
  <c r="AB79" i="24"/>
  <c r="W83" i="24"/>
  <c r="AB36" i="24" l="1"/>
  <c r="AB12" i="24"/>
  <c r="AB8" i="24"/>
  <c r="AB13" i="24"/>
  <c r="AB17" i="24"/>
  <c r="AB80" i="24"/>
  <c r="AB60" i="24"/>
  <c r="AB55" i="24"/>
  <c r="AB50" i="24"/>
  <c r="AB40" i="24"/>
  <c r="AB24" i="24"/>
  <c r="AB74" i="24"/>
  <c r="AB52" i="24"/>
  <c r="AB32" i="24"/>
  <c r="AB21" i="24"/>
  <c r="AB58" i="24"/>
  <c r="K83" i="24"/>
  <c r="Q83" i="24"/>
  <c r="I83" i="24"/>
  <c r="E83" i="24"/>
  <c r="M83" i="24"/>
  <c r="C83" i="24"/>
  <c r="C93" i="24" s="1"/>
  <c r="C84" i="24"/>
  <c r="H83" i="24"/>
  <c r="L83" i="24"/>
  <c r="R83" i="24"/>
  <c r="E84" i="24"/>
  <c r="G83" i="24"/>
  <c r="F83" i="24"/>
  <c r="J83" i="24"/>
  <c r="P83" i="24"/>
  <c r="H93" i="24" l="1"/>
  <c r="H94" i="24" s="1"/>
  <c r="C94" i="24"/>
  <c r="J93" i="24"/>
  <c r="J94" i="24" s="1"/>
  <c r="M93" i="24"/>
  <c r="M94" i="24" s="1"/>
  <c r="F93" i="24"/>
  <c r="F94" i="24" s="1"/>
  <c r="E93" i="24"/>
  <c r="E94" i="24" s="1"/>
  <c r="G93" i="24"/>
  <c r="G94" i="24" s="1"/>
  <c r="I93" i="24"/>
  <c r="I94" i="24" s="1"/>
  <c r="Q93" i="24"/>
  <c r="Q94" i="24" s="1"/>
  <c r="P93" i="24"/>
  <c r="P94" i="24" s="1"/>
  <c r="R93" i="24"/>
  <c r="R94" i="24" s="1"/>
  <c r="L93" i="24"/>
  <c r="L94" i="24" s="1"/>
  <c r="K93" i="24"/>
  <c r="K94" i="24" s="1"/>
  <c r="AB14" i="24"/>
  <c r="AB30" i="24"/>
  <c r="AB75" i="24"/>
  <c r="AB20" i="24"/>
  <c r="AB82" i="24"/>
  <c r="AB11" i="24"/>
  <c r="AB66" i="24"/>
  <c r="AB61" i="24"/>
  <c r="AB76" i="24"/>
  <c r="AB51" i="24"/>
  <c r="AB27" i="24"/>
  <c r="AB65" i="24"/>
  <c r="AB44" i="24"/>
  <c r="AB57" i="24"/>
  <c r="AB38" i="24"/>
  <c r="AB4" i="24"/>
  <c r="AB31" i="24"/>
  <c r="AB42" i="24"/>
  <c r="AB46" i="24"/>
  <c r="AB5" i="24"/>
  <c r="AB63" i="24"/>
  <c r="AB48" i="24"/>
  <c r="AB15" i="24"/>
  <c r="AB71" i="24"/>
  <c r="AB37" i="24"/>
  <c r="AB6" i="24"/>
  <c r="AB23" i="24"/>
  <c r="AB9" i="24"/>
  <c r="AB78" i="24"/>
  <c r="AB49" i="24"/>
  <c r="AB28" i="24"/>
  <c r="AB72" i="24"/>
  <c r="AB67" i="24"/>
  <c r="AB43" i="24"/>
  <c r="AB7" i="24"/>
  <c r="AB10" i="24"/>
  <c r="AB81" i="24"/>
  <c r="AB56" i="24"/>
  <c r="AB26" i="24"/>
  <c r="AB45" i="24"/>
  <c r="AB69" i="24"/>
  <c r="AB16" i="24"/>
  <c r="AB64" i="24"/>
  <c r="AB47" i="24" l="1"/>
  <c r="AB70" i="24"/>
  <c r="AB41" i="24"/>
  <c r="AB35" i="24"/>
  <c r="AB73" i="24"/>
  <c r="AB29" i="24"/>
  <c r="AB33" i="24"/>
  <c r="AB59" i="24"/>
  <c r="AB62" i="24"/>
  <c r="AB25" i="24"/>
  <c r="AB22" i="24"/>
  <c r="AB53" i="24"/>
  <c r="AB18" i="24"/>
  <c r="AB77" i="24"/>
  <c r="U83" i="24"/>
  <c r="X83" i="24"/>
  <c r="U93" i="24" l="1"/>
  <c r="V93" i="24" s="1"/>
  <c r="V94" i="24" s="1"/>
  <c r="AB83" i="24"/>
  <c r="U94" i="24" l="1"/>
  <c r="F83" i="19" l="1"/>
  <c r="N4" i="3" l="1"/>
  <c r="P83" i="3" l="1"/>
  <c r="G83" i="3" l="1"/>
  <c r="Y69" i="3" l="1"/>
  <c r="X69" i="3"/>
  <c r="Y62" i="3"/>
  <c r="X62" i="3"/>
  <c r="Y61" i="3"/>
  <c r="X61" i="3"/>
  <c r="Y60" i="3"/>
  <c r="X60" i="3"/>
  <c r="Y53" i="3"/>
  <c r="X53" i="3"/>
  <c r="Y50" i="3"/>
  <c r="X50" i="3"/>
  <c r="Y37" i="3"/>
  <c r="X37" i="3"/>
  <c r="Y19" i="3"/>
  <c r="X19" i="3"/>
  <c r="Y18" i="3"/>
  <c r="X18" i="3"/>
  <c r="Y12" i="3"/>
  <c r="X12" i="3"/>
  <c r="Z109" i="3" l="1"/>
  <c r="Y109" i="3"/>
  <c r="X109" i="3"/>
  <c r="Z110" i="3" l="1"/>
  <c r="AN6" i="22" l="1"/>
  <c r="AN13" i="22"/>
  <c r="AN15" i="22"/>
  <c r="AN17" i="22"/>
  <c r="AN19" i="22"/>
  <c r="AN51" i="22"/>
  <c r="AN10" i="22"/>
  <c r="AN33" i="22"/>
  <c r="AN37" i="22"/>
  <c r="AN4" i="22"/>
  <c r="AN8" i="22"/>
  <c r="AN9" i="22"/>
  <c r="AN21" i="22"/>
  <c r="AN23" i="22"/>
  <c r="AN25" i="22"/>
  <c r="AN29" i="22"/>
  <c r="AN59" i="22"/>
  <c r="AV62" i="22"/>
  <c r="AV63" i="22"/>
  <c r="AV64" i="22"/>
  <c r="AV65" i="22"/>
  <c r="AV66" i="22"/>
  <c r="AV67" i="22"/>
  <c r="AV68" i="22"/>
  <c r="AV69" i="22"/>
  <c r="AV70" i="22"/>
  <c r="AV71" i="22"/>
  <c r="AN55" i="22"/>
  <c r="AV4" i="22"/>
  <c r="AN43" i="22"/>
  <c r="AN44" i="22"/>
  <c r="AN47" i="22"/>
  <c r="AV19" i="22"/>
  <c r="AV23" i="22"/>
  <c r="AV27" i="22"/>
  <c r="AV31" i="22"/>
  <c r="AV35" i="22"/>
  <c r="AV39" i="22"/>
  <c r="AV42" i="22"/>
  <c r="AV46" i="22"/>
  <c r="AN48" i="22"/>
  <c r="AV50" i="22"/>
  <c r="AN52" i="22"/>
  <c r="AV54" i="22"/>
  <c r="AN56" i="22"/>
  <c r="AV58" i="22"/>
  <c r="AN60" i="22"/>
  <c r="AV61" i="22"/>
  <c r="AV8" i="22"/>
  <c r="AV6" i="22"/>
  <c r="AV15" i="22"/>
  <c r="AN5" i="22"/>
  <c r="AV7" i="22"/>
  <c r="AN11" i="22"/>
  <c r="AV12" i="22"/>
  <c r="AN14" i="22"/>
  <c r="AV16" i="22"/>
  <c r="AN18" i="22"/>
  <c r="AV20" i="22"/>
  <c r="AN22" i="22"/>
  <c r="AV24" i="22"/>
  <c r="AN26" i="22"/>
  <c r="AV28" i="22"/>
  <c r="AN30" i="22"/>
  <c r="AV32" i="22"/>
  <c r="AN34" i="22"/>
  <c r="AV36" i="22"/>
  <c r="AN38" i="22"/>
  <c r="AV40" i="22"/>
  <c r="AN41" i="22"/>
  <c r="AV43" i="22"/>
  <c r="AN45" i="22"/>
  <c r="AV47" i="22"/>
  <c r="AN49" i="22"/>
  <c r="AV51" i="22"/>
  <c r="AN53" i="22"/>
  <c r="AV55" i="22"/>
  <c r="AN57" i="22"/>
  <c r="AV59" i="22"/>
  <c r="AN61" i="22"/>
  <c r="AN62" i="22"/>
  <c r="AN63" i="22"/>
  <c r="AN64" i="22"/>
  <c r="AN65" i="22"/>
  <c r="AN66" i="22"/>
  <c r="AN67" i="22"/>
  <c r="AN68" i="22"/>
  <c r="AN69" i="22"/>
  <c r="AN70" i="22"/>
  <c r="AN71" i="22"/>
  <c r="AV72" i="22"/>
  <c r="AV73" i="22"/>
  <c r="AV74" i="22"/>
  <c r="AV75" i="22"/>
  <c r="AV76" i="22"/>
  <c r="AV77" i="22"/>
  <c r="AV78" i="22"/>
  <c r="AV79" i="22"/>
  <c r="AV80" i="22"/>
  <c r="AV81" i="22"/>
  <c r="AV82" i="22"/>
  <c r="AV13" i="22"/>
  <c r="AV21" i="22"/>
  <c r="AV25" i="22"/>
  <c r="AN27" i="22"/>
  <c r="AV29" i="22"/>
  <c r="AN31" i="22"/>
  <c r="AV33" i="22"/>
  <c r="AN35" i="22"/>
  <c r="AV37" i="22"/>
  <c r="AN39" i="22"/>
  <c r="AN42" i="22"/>
  <c r="AV44" i="22"/>
  <c r="AN46" i="22"/>
  <c r="AV48" i="22"/>
  <c r="AN50" i="22"/>
  <c r="AV52" i="22"/>
  <c r="AN54" i="22"/>
  <c r="AV56" i="22"/>
  <c r="AN58" i="22"/>
  <c r="AV60" i="22"/>
  <c r="AN72" i="22"/>
  <c r="AN73" i="22"/>
  <c r="AN74" i="22"/>
  <c r="AN75" i="22"/>
  <c r="AN76" i="22"/>
  <c r="AN77" i="22"/>
  <c r="AN78" i="22"/>
  <c r="AN79" i="22"/>
  <c r="AN80" i="22"/>
  <c r="AN81" i="22"/>
  <c r="AN82" i="22"/>
  <c r="AV17" i="22"/>
  <c r="AV5" i="22"/>
  <c r="AN7" i="22"/>
  <c r="AV9" i="22"/>
  <c r="AV10" i="22"/>
  <c r="AV11" i="22"/>
  <c r="AN12" i="22"/>
  <c r="AV14" i="22"/>
  <c r="AN16" i="22"/>
  <c r="AV18" i="22"/>
  <c r="AN20" i="22"/>
  <c r="AV22" i="22"/>
  <c r="AN24" i="22"/>
  <c r="AV26" i="22"/>
  <c r="AN28" i="22"/>
  <c r="AV30" i="22"/>
  <c r="AN32" i="22"/>
  <c r="AV34" i="22"/>
  <c r="AN36" i="22"/>
  <c r="AV38" i="22"/>
  <c r="AN40" i="22"/>
  <c r="AV41" i="22"/>
  <c r="AV45" i="22"/>
  <c r="AV49" i="22"/>
  <c r="AV53" i="22"/>
  <c r="AV57" i="22"/>
  <c r="AV83" i="22" l="1"/>
  <c r="AI83" i="22"/>
  <c r="H84" i="22"/>
  <c r="J84" i="22" l="1"/>
  <c r="AD82" i="22"/>
  <c r="AD58" i="22"/>
  <c r="AD38" i="22"/>
  <c r="AD18" i="22"/>
  <c r="AD66" i="22"/>
  <c r="AD44" i="22"/>
  <c r="AD22" i="22"/>
  <c r="AD79" i="22"/>
  <c r="AD29" i="22"/>
  <c r="AD9" i="22"/>
  <c r="AD64" i="22"/>
  <c r="AD28" i="22"/>
  <c r="AD6" i="22"/>
  <c r="AD71" i="22"/>
  <c r="AD61" i="22"/>
  <c r="AD53" i="22"/>
  <c r="AD45" i="22"/>
  <c r="AD37" i="22"/>
  <c r="AD23" i="22"/>
  <c r="AD11" i="22"/>
  <c r="AD78" i="22"/>
  <c r="AD48" i="22"/>
  <c r="AD36" i="22"/>
  <c r="AD4" i="22"/>
  <c r="AD60" i="22"/>
  <c r="AD34" i="22"/>
  <c r="AD20" i="22"/>
  <c r="AD73" i="22"/>
  <c r="AD25" i="22"/>
  <c r="AD76" i="22"/>
  <c r="AD54" i="22"/>
  <c r="AD16" i="22"/>
  <c r="AD81" i="22"/>
  <c r="AD67" i="22"/>
  <c r="AD59" i="22"/>
  <c r="AD51" i="22"/>
  <c r="AD43" i="22"/>
  <c r="AD35" i="22"/>
  <c r="AD21" i="22"/>
  <c r="AD7" i="22"/>
  <c r="AD40" i="22"/>
  <c r="AD50" i="22"/>
  <c r="AD10" i="22"/>
  <c r="AD15" i="22"/>
  <c r="AD42" i="22"/>
  <c r="AD75" i="22"/>
  <c r="AD55" i="22"/>
  <c r="AD39" i="22"/>
  <c r="AD13" i="22"/>
  <c r="AD70" i="22"/>
  <c r="AD46" i="22"/>
  <c r="AD30" i="22"/>
  <c r="AD80" i="22"/>
  <c r="AD56" i="22"/>
  <c r="AD32" i="22"/>
  <c r="AD14" i="22"/>
  <c r="AD69" i="22"/>
  <c r="AD19" i="22"/>
  <c r="AD74" i="22"/>
  <c r="AD52" i="22"/>
  <c r="AD12" i="22"/>
  <c r="AD77" i="22"/>
  <c r="AD65" i="22"/>
  <c r="AD57" i="22"/>
  <c r="AD49" i="22"/>
  <c r="AD41" i="22"/>
  <c r="AD31" i="22"/>
  <c r="AD17" i="22"/>
  <c r="AD5" i="22"/>
  <c r="AD62" i="22"/>
  <c r="AD24" i="22"/>
  <c r="AD72" i="22"/>
  <c r="AD26" i="22"/>
  <c r="AD33" i="22"/>
  <c r="AD68" i="22"/>
  <c r="AD8" i="22"/>
  <c r="AD63" i="22"/>
  <c r="AD47" i="22"/>
  <c r="AD27" i="22"/>
  <c r="W83" i="22"/>
  <c r="V83" i="22"/>
  <c r="X83" i="22"/>
  <c r="J83" i="22"/>
  <c r="H83" i="22"/>
  <c r="BC83" i="22"/>
  <c r="BB83" i="22"/>
  <c r="I84" i="22"/>
  <c r="AY83" i="22" l="1"/>
  <c r="I25" i="20" l="1"/>
  <c r="I8" i="20"/>
  <c r="I10" i="20"/>
  <c r="I57" i="20"/>
  <c r="I5" i="20"/>
  <c r="M5" i="14" l="1"/>
  <c r="I9" i="20"/>
  <c r="M9" i="14"/>
  <c r="I14" i="20"/>
  <c r="M68" i="14"/>
  <c r="M48" i="14"/>
  <c r="I39" i="20"/>
  <c r="M39" i="14"/>
  <c r="I22" i="20"/>
  <c r="M22" i="14"/>
  <c r="I23" i="20"/>
  <c r="I19" i="20"/>
  <c r="M78" i="14"/>
  <c r="M66" i="14"/>
  <c r="I66" i="20"/>
  <c r="I6" i="20"/>
  <c r="M6" i="14"/>
  <c r="I15" i="20"/>
  <c r="M15" i="14"/>
  <c r="I50" i="20"/>
  <c r="M50" i="14"/>
  <c r="I7" i="20"/>
  <c r="M7" i="14"/>
  <c r="I67" i="20"/>
  <c r="M67" i="14"/>
  <c r="I61" i="20"/>
  <c r="M61" i="14"/>
  <c r="M25" i="14"/>
  <c r="I44" i="20"/>
  <c r="M11" i="14"/>
  <c r="I11" i="20"/>
  <c r="I77" i="20"/>
  <c r="M77" i="14"/>
  <c r="M57" i="14"/>
  <c r="M8" i="14"/>
  <c r="M4" i="14"/>
  <c r="M10" i="14"/>
  <c r="I37" i="20"/>
  <c r="M37" i="14"/>
  <c r="I16" i="20"/>
  <c r="M16" i="14"/>
  <c r="I48" i="20" l="1"/>
  <c r="I68" i="20"/>
  <c r="M19" i="14"/>
  <c r="I78" i="20"/>
  <c r="M14" i="14"/>
  <c r="I4" i="20"/>
  <c r="M79" i="14"/>
  <c r="I79" i="20"/>
  <c r="M23" i="14"/>
  <c r="M44" i="14"/>
  <c r="I72" i="20"/>
  <c r="M72" i="14"/>
  <c r="I80" i="20"/>
  <c r="M80" i="14"/>
  <c r="I76" i="20"/>
  <c r="M76" i="14"/>
  <c r="I46" i="20"/>
  <c r="M46" i="14"/>
  <c r="I36" i="20"/>
  <c r="M36" i="14"/>
  <c r="I73" i="20"/>
  <c r="M73" i="14"/>
  <c r="I81" i="20"/>
  <c r="M81" i="14"/>
  <c r="I69" i="20"/>
  <c r="M69" i="14"/>
  <c r="I53" i="20"/>
  <c r="M53" i="14"/>
  <c r="M71" i="14"/>
  <c r="I71" i="20"/>
  <c r="I42" i="20"/>
  <c r="M42" i="14"/>
  <c r="M59" i="14"/>
  <c r="I59" i="20"/>
  <c r="I13" i="20"/>
  <c r="M13" i="14"/>
  <c r="M74" i="14"/>
  <c r="I74" i="20"/>
  <c r="M82" i="14"/>
  <c r="I82" i="20"/>
  <c r="I34" i="20"/>
  <c r="M34" i="14"/>
  <c r="I60" i="20"/>
  <c r="M60" i="14"/>
  <c r="I33" i="20"/>
  <c r="M33" i="14"/>
  <c r="I47" i="20"/>
  <c r="M47" i="14"/>
  <c r="M54" i="14"/>
  <c r="I54" i="20"/>
  <c r="I20" i="20"/>
  <c r="M20" i="14"/>
  <c r="I17" i="20"/>
  <c r="M17" i="14"/>
  <c r="I21" i="20"/>
  <c r="M21" i="14"/>
  <c r="I31" i="20"/>
  <c r="M31" i="14"/>
  <c r="M75" i="14"/>
  <c r="I75" i="20"/>
  <c r="I49" i="20"/>
  <c r="M49" i="14"/>
  <c r="I38" i="20"/>
  <c r="M38" i="14"/>
  <c r="I64" i="20"/>
  <c r="M64" i="14"/>
  <c r="I28" i="20"/>
  <c r="M28" i="14"/>
  <c r="M58" i="14"/>
  <c r="I58" i="20"/>
  <c r="M63" i="14"/>
  <c r="I63" i="20"/>
  <c r="I18" i="20"/>
  <c r="M18" i="14"/>
  <c r="I51" i="20"/>
  <c r="M51" i="14"/>
  <c r="I45" i="20"/>
  <c r="M45" i="14"/>
  <c r="I30" i="20"/>
  <c r="M30" i="14"/>
  <c r="I32" i="20"/>
  <c r="M32" i="14"/>
  <c r="I65" i="20"/>
  <c r="M65" i="14"/>
  <c r="I12" i="20"/>
  <c r="M12" i="14"/>
  <c r="I56" i="20"/>
  <c r="M56" i="14"/>
  <c r="I26" i="20"/>
  <c r="M26" i="14"/>
  <c r="I41" i="20"/>
  <c r="M41" i="14"/>
  <c r="M62" i="14"/>
  <c r="I62" i="20"/>
  <c r="I55" i="20"/>
  <c r="M55" i="14"/>
  <c r="I43" i="20"/>
  <c r="M43" i="14"/>
  <c r="I29" i="20"/>
  <c r="M29" i="14"/>
  <c r="I35" i="20"/>
  <c r="M35" i="14"/>
  <c r="I52" i="20"/>
  <c r="M52" i="14"/>
  <c r="I27" i="20"/>
  <c r="M27" i="14"/>
  <c r="M70" i="14"/>
  <c r="I70" i="20"/>
  <c r="I24" i="20"/>
  <c r="M24" i="14"/>
  <c r="I40" i="20"/>
  <c r="M40" i="14"/>
  <c r="E83" i="20"/>
  <c r="H83" i="20"/>
  <c r="G83" i="20"/>
  <c r="M83" i="14" l="1"/>
  <c r="G85" i="20"/>
  <c r="M84" i="14" s="1"/>
  <c r="F83" i="20"/>
  <c r="I83" i="20" l="1"/>
  <c r="Q84" i="19"/>
  <c r="O84" i="19" s="1"/>
  <c r="T3" i="19"/>
  <c r="T84" i="19" s="1"/>
  <c r="N84" i="19" l="1"/>
  <c r="C83" i="19"/>
  <c r="S84" i="19"/>
  <c r="R84" i="19"/>
  <c r="P84" i="19"/>
  <c r="E83" i="19"/>
  <c r="L83" i="19"/>
  <c r="V83" i="19"/>
  <c r="M83" i="19"/>
  <c r="K83" i="19"/>
  <c r="E84" i="18" l="1"/>
  <c r="X85" i="24"/>
  <c r="T85" i="14" l="1"/>
  <c r="M85" i="14"/>
  <c r="O29" i="14"/>
  <c r="G82" i="18"/>
  <c r="G80" i="18"/>
  <c r="G52" i="18"/>
  <c r="O44" i="14"/>
  <c r="O36" i="14"/>
  <c r="O28" i="14"/>
  <c r="O20" i="14"/>
  <c r="O12" i="14"/>
  <c r="O77" i="14"/>
  <c r="O13" i="14"/>
  <c r="O61" i="14"/>
  <c r="O45" i="14"/>
  <c r="O69" i="14"/>
  <c r="O53" i="14"/>
  <c r="O37" i="14"/>
  <c r="O21" i="14"/>
  <c r="O5" i="14"/>
  <c r="O81" i="14"/>
  <c r="F83" i="18"/>
  <c r="O65" i="14"/>
  <c r="O49" i="14"/>
  <c r="O33" i="14"/>
  <c r="O17" i="14"/>
  <c r="O73" i="14"/>
  <c r="O57" i="14"/>
  <c r="O41" i="14"/>
  <c r="O25" i="14"/>
  <c r="O9" i="14"/>
  <c r="O79" i="14"/>
  <c r="O75" i="14"/>
  <c r="O71" i="14"/>
  <c r="O67" i="14"/>
  <c r="O63" i="14"/>
  <c r="O59" i="14"/>
  <c r="O55" i="14"/>
  <c r="O51" i="14"/>
  <c r="O47" i="14"/>
  <c r="O43" i="14"/>
  <c r="O39" i="14"/>
  <c r="O35" i="14"/>
  <c r="O31" i="14"/>
  <c r="O27" i="14"/>
  <c r="O23" i="14"/>
  <c r="O19" i="14"/>
  <c r="O15" i="14"/>
  <c r="O11" i="14"/>
  <c r="O7" i="14"/>
  <c r="D83" i="18"/>
  <c r="G36" i="18" l="1"/>
  <c r="O82" i="14"/>
  <c r="G33" i="18"/>
  <c r="G29" i="18"/>
  <c r="G21" i="18"/>
  <c r="G44" i="18"/>
  <c r="G12" i="18"/>
  <c r="O52" i="14"/>
  <c r="G61" i="18"/>
  <c r="G28" i="18"/>
  <c r="O80" i="14"/>
  <c r="G17" i="18"/>
  <c r="G25" i="18"/>
  <c r="G13" i="18"/>
  <c r="G57" i="18"/>
  <c r="G45" i="18"/>
  <c r="G69" i="18"/>
  <c r="G20" i="18"/>
  <c r="G41" i="18"/>
  <c r="G47" i="18"/>
  <c r="G65" i="18"/>
  <c r="G5" i="18"/>
  <c r="G77" i="18"/>
  <c r="G7" i="18"/>
  <c r="G49" i="18"/>
  <c r="C83" i="18"/>
  <c r="G11" i="18"/>
  <c r="G53" i="18"/>
  <c r="G31" i="18"/>
  <c r="G75" i="18"/>
  <c r="G15" i="18"/>
  <c r="G79" i="18"/>
  <c r="G63" i="18"/>
  <c r="G59" i="18"/>
  <c r="G27" i="18"/>
  <c r="G9" i="18"/>
  <c r="G73" i="18"/>
  <c r="G37" i="18"/>
  <c r="G43" i="18"/>
  <c r="G81" i="18"/>
  <c r="G55" i="18"/>
  <c r="G71" i="18"/>
  <c r="G39" i="18"/>
  <c r="G8" i="18"/>
  <c r="O8" i="14"/>
  <c r="G40" i="18"/>
  <c r="O40" i="14"/>
  <c r="G64" i="18"/>
  <c r="O64" i="14"/>
  <c r="G18" i="18"/>
  <c r="O18" i="14"/>
  <c r="G34" i="18"/>
  <c r="O34" i="14"/>
  <c r="G50" i="18"/>
  <c r="O50" i="14"/>
  <c r="G66" i="18"/>
  <c r="O66" i="14"/>
  <c r="G19" i="18"/>
  <c r="G51" i="18"/>
  <c r="G23" i="18"/>
  <c r="G16" i="18"/>
  <c r="O16" i="14"/>
  <c r="G48" i="18"/>
  <c r="O48" i="14"/>
  <c r="G68" i="18"/>
  <c r="O68" i="14"/>
  <c r="G6" i="18"/>
  <c r="O6" i="14"/>
  <c r="G22" i="18"/>
  <c r="O22" i="14"/>
  <c r="G38" i="18"/>
  <c r="O38" i="14"/>
  <c r="G54" i="18"/>
  <c r="O54" i="14"/>
  <c r="G70" i="18"/>
  <c r="O70" i="14"/>
  <c r="G24" i="18"/>
  <c r="O24" i="14"/>
  <c r="G56" i="18"/>
  <c r="O56" i="14"/>
  <c r="G72" i="18"/>
  <c r="O72" i="14"/>
  <c r="G10" i="18"/>
  <c r="O10" i="14"/>
  <c r="G26" i="18"/>
  <c r="O26" i="14"/>
  <c r="G42" i="18"/>
  <c r="O42" i="14"/>
  <c r="G58" i="18"/>
  <c r="O58" i="14"/>
  <c r="G74" i="18"/>
  <c r="O74" i="14"/>
  <c r="G35" i="18"/>
  <c r="G67" i="18"/>
  <c r="G4" i="18"/>
  <c r="O4" i="14"/>
  <c r="G32" i="18"/>
  <c r="O32" i="14"/>
  <c r="G60" i="18"/>
  <c r="O60" i="14"/>
  <c r="G76" i="18"/>
  <c r="O76" i="14"/>
  <c r="G14" i="18"/>
  <c r="O14" i="14"/>
  <c r="G30" i="18"/>
  <c r="O30" i="14"/>
  <c r="G46" i="18"/>
  <c r="O46" i="14"/>
  <c r="G62" i="18"/>
  <c r="O62" i="14"/>
  <c r="G78" i="18"/>
  <c r="O78" i="14"/>
  <c r="O83" i="14" l="1"/>
  <c r="G83" i="18"/>
  <c r="E83" i="18"/>
  <c r="E85" i="18" s="1"/>
  <c r="O84" i="14" s="1"/>
  <c r="O85" i="14" l="1"/>
  <c r="U83" i="14" l="1"/>
  <c r="C83" i="10" l="1"/>
  <c r="D84" i="10" s="1"/>
  <c r="P83" i="10" l="1"/>
  <c r="Q27" i="10" l="1"/>
  <c r="O27" i="10" s="1"/>
  <c r="P27" i="14" s="1"/>
  <c r="Q15" i="10"/>
  <c r="O15" i="10" s="1"/>
  <c r="P15" i="14" s="1"/>
  <c r="Q78" i="10"/>
  <c r="O78" i="10" s="1"/>
  <c r="P78" i="14" s="1"/>
  <c r="Q53" i="10"/>
  <c r="O53" i="10" s="1"/>
  <c r="P53" i="14" s="1"/>
  <c r="Q65" i="10"/>
  <c r="O65" i="10" s="1"/>
  <c r="P65" i="14" s="1"/>
  <c r="Q63" i="10"/>
  <c r="O63" i="10" s="1"/>
  <c r="P63" i="14" s="1"/>
  <c r="Q7" i="10"/>
  <c r="O7" i="10" s="1"/>
  <c r="P7" i="14" s="1"/>
  <c r="Q51" i="10"/>
  <c r="O51" i="10" s="1"/>
  <c r="P51" i="14" s="1"/>
  <c r="Q40" i="10"/>
  <c r="O40" i="10" s="1"/>
  <c r="P40" i="14" s="1"/>
  <c r="Q11" i="10"/>
  <c r="O11" i="10" s="1"/>
  <c r="P11" i="14" s="1"/>
  <c r="Q21" i="10"/>
  <c r="O21" i="10" s="1"/>
  <c r="P21" i="14" s="1"/>
  <c r="Q76" i="10"/>
  <c r="O76" i="10" s="1"/>
  <c r="P76" i="14" s="1"/>
  <c r="Q24" i="10"/>
  <c r="O24" i="10" s="1"/>
  <c r="P24" i="14" s="1"/>
  <c r="Q70" i="10"/>
  <c r="O70" i="10" s="1"/>
  <c r="P70" i="14" s="1"/>
  <c r="Q12" i="10"/>
  <c r="O12" i="10" s="1"/>
  <c r="P12" i="14" s="1"/>
  <c r="Q52" i="10"/>
  <c r="O52" i="10" s="1"/>
  <c r="P52" i="14" s="1"/>
  <c r="Q82" i="10"/>
  <c r="O82" i="10" s="1"/>
  <c r="P82" i="14" s="1"/>
  <c r="Q74" i="10"/>
  <c r="O74" i="10" s="1"/>
  <c r="P74" i="14" s="1"/>
  <c r="Q44" i="10"/>
  <c r="O44" i="10" s="1"/>
  <c r="P44" i="14" s="1"/>
  <c r="Q56" i="10"/>
  <c r="O56" i="10" s="1"/>
  <c r="P56" i="14" s="1"/>
  <c r="Q35" i="10"/>
  <c r="O35" i="10" s="1"/>
  <c r="P35" i="14" s="1"/>
  <c r="Q19" i="10"/>
  <c r="O19" i="10" s="1"/>
  <c r="P19" i="14" s="1"/>
  <c r="Q28" i="10"/>
  <c r="O28" i="10" s="1"/>
  <c r="P28" i="14" s="1"/>
  <c r="Q17" i="10"/>
  <c r="O17" i="10" s="1"/>
  <c r="P17" i="14" s="1"/>
  <c r="Q26" i="10"/>
  <c r="O26" i="10" s="1"/>
  <c r="P26" i="14" s="1"/>
  <c r="Q66" i="10"/>
  <c r="O66" i="10" s="1"/>
  <c r="P66" i="14" s="1"/>
  <c r="Q20" i="10"/>
  <c r="O20" i="10" s="1"/>
  <c r="P20" i="14" s="1"/>
  <c r="Q25" i="10"/>
  <c r="O25" i="10" s="1"/>
  <c r="P25" i="14" s="1"/>
  <c r="Q37" i="10"/>
  <c r="O37" i="10" s="1"/>
  <c r="P37" i="14" s="1"/>
  <c r="Q9" i="10"/>
  <c r="O9" i="10" s="1"/>
  <c r="P9" i="14" s="1"/>
  <c r="Q41" i="10"/>
  <c r="O41" i="10" s="1"/>
  <c r="P41" i="14" s="1"/>
  <c r="G83" i="10"/>
  <c r="Q57" i="10" l="1"/>
  <c r="O57" i="10" s="1"/>
  <c r="P57" i="14" s="1"/>
  <c r="Q31" i="10"/>
  <c r="O31" i="10" s="1"/>
  <c r="P31" i="14" s="1"/>
  <c r="Q43" i="10"/>
  <c r="O43" i="10" s="1"/>
  <c r="P43" i="14" s="1"/>
  <c r="Q39" i="10"/>
  <c r="O39" i="10" s="1"/>
  <c r="P39" i="14" s="1"/>
  <c r="Q58" i="10"/>
  <c r="O58" i="10" s="1"/>
  <c r="P58" i="14" s="1"/>
  <c r="Q61" i="10"/>
  <c r="O61" i="10" s="1"/>
  <c r="P61" i="14" s="1"/>
  <c r="Q46" i="10"/>
  <c r="O46" i="10" s="1"/>
  <c r="P46" i="14" s="1"/>
  <c r="Q64" i="10"/>
  <c r="O64" i="10" s="1"/>
  <c r="P64" i="14" s="1"/>
  <c r="Q30" i="10"/>
  <c r="O30" i="10" s="1"/>
  <c r="P30" i="14" s="1"/>
  <c r="Q13" i="10"/>
  <c r="O13" i="10" s="1"/>
  <c r="P13" i="14" s="1"/>
  <c r="Q81" i="10"/>
  <c r="O81" i="10" s="1"/>
  <c r="P81" i="14" s="1"/>
  <c r="Q72" i="10"/>
  <c r="O72" i="10" s="1"/>
  <c r="P72" i="14" s="1"/>
  <c r="Q16" i="10"/>
  <c r="O16" i="10" s="1"/>
  <c r="P16" i="14" s="1"/>
  <c r="Q10" i="10"/>
  <c r="O10" i="10" s="1"/>
  <c r="P10" i="14" s="1"/>
  <c r="Q8" i="10"/>
  <c r="O8" i="10" s="1"/>
  <c r="P8" i="14" s="1"/>
  <c r="Q38" i="10"/>
  <c r="O38" i="10" s="1"/>
  <c r="P38" i="14" s="1"/>
  <c r="Q32" i="10"/>
  <c r="O32" i="10" s="1"/>
  <c r="P32" i="14" s="1"/>
  <c r="Q42" i="10"/>
  <c r="O42" i="10" s="1"/>
  <c r="P42" i="14" s="1"/>
  <c r="Q45" i="10"/>
  <c r="O45" i="10" s="1"/>
  <c r="P45" i="14" s="1"/>
  <c r="Q59" i="10"/>
  <c r="O59" i="10" s="1"/>
  <c r="P59" i="14" s="1"/>
  <c r="Q33" i="10"/>
  <c r="O33" i="10" s="1"/>
  <c r="P33" i="14" s="1"/>
  <c r="Q48" i="10"/>
  <c r="O48" i="10" s="1"/>
  <c r="P48" i="14" s="1"/>
  <c r="Q23" i="10"/>
  <c r="O23" i="10" s="1"/>
  <c r="P23" i="14" s="1"/>
  <c r="Q29" i="10"/>
  <c r="O29" i="10" s="1"/>
  <c r="P29" i="14" s="1"/>
  <c r="Q47" i="10"/>
  <c r="O47" i="10" s="1"/>
  <c r="P47" i="14" s="1"/>
  <c r="Q55" i="10"/>
  <c r="O55" i="10" s="1"/>
  <c r="P55" i="14" s="1"/>
  <c r="Q14" i="10"/>
  <c r="O14" i="10" s="1"/>
  <c r="P14" i="14" s="1"/>
  <c r="Q73" i="10"/>
  <c r="O73" i="10" s="1"/>
  <c r="P73" i="14" s="1"/>
  <c r="Q69" i="10"/>
  <c r="O69" i="10" s="1"/>
  <c r="P69" i="14" s="1"/>
  <c r="Q34" i="10"/>
  <c r="O34" i="10" s="1"/>
  <c r="P34" i="14" s="1"/>
  <c r="Q79" i="10"/>
  <c r="O79" i="10" s="1"/>
  <c r="P79" i="14" s="1"/>
  <c r="Q62" i="10"/>
  <c r="O62" i="10" s="1"/>
  <c r="P62" i="14" s="1"/>
  <c r="Q18" i="10"/>
  <c r="O18" i="10" s="1"/>
  <c r="P18" i="14" s="1"/>
  <c r="Q49" i="10"/>
  <c r="O49" i="10" s="1"/>
  <c r="P49" i="14" s="1"/>
  <c r="K83" i="10"/>
  <c r="Q4" i="10"/>
  <c r="Q22" i="10"/>
  <c r="O22" i="10" s="1"/>
  <c r="P22" i="14" s="1"/>
  <c r="Q60" i="10"/>
  <c r="O60" i="10" s="1"/>
  <c r="P60" i="14" s="1"/>
  <c r="Q54" i="10"/>
  <c r="O54" i="10" s="1"/>
  <c r="P54" i="14" s="1"/>
  <c r="Q5" i="10"/>
  <c r="O5" i="10" s="1"/>
  <c r="P5" i="14" s="1"/>
  <c r="Q36" i="10"/>
  <c r="O36" i="10" s="1"/>
  <c r="P36" i="14" s="1"/>
  <c r="Q6" i="10"/>
  <c r="O6" i="10" s="1"/>
  <c r="P6" i="14" s="1"/>
  <c r="Q50" i="10"/>
  <c r="O50" i="10" s="1"/>
  <c r="P50" i="14" s="1"/>
  <c r="Q67" i="10"/>
  <c r="O67" i="10" s="1"/>
  <c r="P67" i="14" s="1"/>
  <c r="Q68" i="10"/>
  <c r="O68" i="10" s="1"/>
  <c r="P68" i="14" s="1"/>
  <c r="Q77" i="10"/>
  <c r="O77" i="10" s="1"/>
  <c r="P77" i="14" s="1"/>
  <c r="Q75" i="10"/>
  <c r="O75" i="10" s="1"/>
  <c r="P75" i="14" s="1"/>
  <c r="Q71" i="10"/>
  <c r="O71" i="10" s="1"/>
  <c r="P71" i="14" s="1"/>
  <c r="Q80" i="10"/>
  <c r="O80" i="10" s="1"/>
  <c r="P80" i="14" s="1"/>
  <c r="O4" i="10" l="1"/>
  <c r="P4" i="14" s="1"/>
  <c r="N83" i="10"/>
  <c r="Q83" i="10"/>
  <c r="P83" i="14" l="1"/>
  <c r="O83" i="10"/>
  <c r="O85" i="10" s="1"/>
  <c r="P84" i="14" s="1"/>
  <c r="R83" i="7"/>
  <c r="Q83" i="7"/>
  <c r="F83" i="7"/>
  <c r="F103" i="7" s="1"/>
  <c r="F104" i="7" s="1"/>
  <c r="E83" i="7"/>
  <c r="E103" i="7" s="1"/>
  <c r="E104" i="7" s="1"/>
  <c r="D83" i="7"/>
  <c r="D103" i="7" s="1"/>
  <c r="D104" i="7" s="1"/>
  <c r="P83" i="7" l="1"/>
  <c r="C83" i="7"/>
  <c r="C103" i="7" s="1"/>
  <c r="G103" i="7" l="1"/>
  <c r="C104" i="7"/>
  <c r="G101" i="7"/>
  <c r="G99" i="7"/>
  <c r="V55" i="7"/>
  <c r="R55" i="14"/>
  <c r="V78" i="7"/>
  <c r="R78" i="14"/>
  <c r="V38" i="7"/>
  <c r="R38" i="14"/>
  <c r="V48" i="7"/>
  <c r="R48" i="14"/>
  <c r="V44" i="7"/>
  <c r="R44" i="14"/>
  <c r="V75" i="7"/>
  <c r="R75" i="14"/>
  <c r="V25" i="7"/>
  <c r="R25" i="14"/>
  <c r="V77" i="7"/>
  <c r="R77" i="14"/>
  <c r="V45" i="7"/>
  <c r="R45" i="14"/>
  <c r="V70" i="7"/>
  <c r="R70" i="14"/>
  <c r="V74" i="7"/>
  <c r="R74" i="14"/>
  <c r="V17" i="7"/>
  <c r="R17" i="14"/>
  <c r="V10" i="7"/>
  <c r="R10" i="14"/>
  <c r="V13" i="7"/>
  <c r="R13" i="14"/>
  <c r="V68" i="7"/>
  <c r="R68" i="14"/>
  <c r="V21" i="7"/>
  <c r="R21" i="14"/>
  <c r="V71" i="7"/>
  <c r="R71" i="14"/>
  <c r="V29" i="7"/>
  <c r="R29" i="14"/>
  <c r="V9" i="7"/>
  <c r="R9" i="14"/>
  <c r="V63" i="7"/>
  <c r="R63" i="14"/>
  <c r="V69" i="7"/>
  <c r="R69" i="14"/>
  <c r="V73" i="7"/>
  <c r="R73" i="14"/>
  <c r="V32" i="7"/>
  <c r="R32" i="14"/>
  <c r="V53" i="7"/>
  <c r="R53" i="14"/>
  <c r="V61" i="7"/>
  <c r="R61" i="14"/>
  <c r="V79" i="7"/>
  <c r="R79" i="14"/>
  <c r="V49" i="7"/>
  <c r="R49" i="14"/>
  <c r="V5" i="7"/>
  <c r="R5" i="14"/>
  <c r="V57" i="7"/>
  <c r="R57" i="14"/>
  <c r="V11" i="7"/>
  <c r="R11" i="14"/>
  <c r="V67" i="7"/>
  <c r="R67" i="14"/>
  <c r="V19" i="7"/>
  <c r="R19" i="14"/>
  <c r="V81" i="7"/>
  <c r="R81" i="14"/>
  <c r="V27" i="7"/>
  <c r="R27" i="14"/>
  <c r="G97" i="7"/>
  <c r="G93" i="7"/>
  <c r="P85" i="14"/>
  <c r="O83" i="7"/>
  <c r="H83" i="7"/>
  <c r="H85" i="7" s="1"/>
  <c r="AB11" i="3"/>
  <c r="AB7" i="3"/>
  <c r="AB17" i="3"/>
  <c r="AB4" i="3"/>
  <c r="AB15" i="3"/>
  <c r="AB16" i="3"/>
  <c r="AB14" i="3"/>
  <c r="AB18" i="3"/>
  <c r="AB19" i="3"/>
  <c r="AB13" i="3"/>
  <c r="AB21" i="3"/>
  <c r="AB28" i="3"/>
  <c r="AB26" i="3"/>
  <c r="AB27" i="3"/>
  <c r="AB22" i="3"/>
  <c r="AB25" i="3"/>
  <c r="AB23" i="3"/>
  <c r="AB29" i="3"/>
  <c r="AB30" i="3"/>
  <c r="AB36" i="3"/>
  <c r="AB35" i="3"/>
  <c r="AB37" i="3"/>
  <c r="AB43" i="3"/>
  <c r="AB40" i="3"/>
  <c r="AB38" i="3"/>
  <c r="AB42" i="3"/>
  <c r="AB39" i="3"/>
  <c r="AB41" i="3"/>
  <c r="AB47" i="3"/>
  <c r="AB46" i="3"/>
  <c r="AB48" i="3"/>
  <c r="AB54" i="3"/>
  <c r="AB49" i="3"/>
  <c r="AB53" i="3"/>
  <c r="AB55" i="3"/>
  <c r="AB59" i="3"/>
  <c r="AB60" i="3"/>
  <c r="AB61" i="3"/>
  <c r="AB63" i="3"/>
  <c r="AB69" i="3"/>
  <c r="AB68" i="3"/>
  <c r="AB70" i="3"/>
  <c r="AB66" i="3"/>
  <c r="AB64" i="3"/>
  <c r="AB73" i="3"/>
  <c r="AB71" i="3"/>
  <c r="AB72" i="3"/>
  <c r="AB75" i="3"/>
  <c r="AB74" i="3"/>
  <c r="AB77" i="3"/>
  <c r="AB78" i="3"/>
  <c r="AB79" i="3"/>
  <c r="AB80" i="3"/>
  <c r="AB82" i="3"/>
  <c r="AB81" i="3"/>
  <c r="AB76" i="3"/>
  <c r="AB67" i="3"/>
  <c r="AB65" i="3"/>
  <c r="AB62" i="3"/>
  <c r="AB58" i="3"/>
  <c r="AB57" i="3"/>
  <c r="AB56" i="3"/>
  <c r="AB52" i="3"/>
  <c r="AB51" i="3"/>
  <c r="AB50" i="3"/>
  <c r="AB45" i="3"/>
  <c r="AB44" i="3"/>
  <c r="AB34" i="3"/>
  <c r="AB33" i="3"/>
  <c r="AB32" i="3"/>
  <c r="AB31" i="3"/>
  <c r="AB24" i="3"/>
  <c r="AB20" i="3"/>
  <c r="AB10" i="3"/>
  <c r="AB9" i="3"/>
  <c r="AB8" i="3"/>
  <c r="AB12" i="3"/>
  <c r="AB6" i="3"/>
  <c r="AB5" i="3"/>
  <c r="AA83" i="3"/>
  <c r="X83" i="3"/>
  <c r="E95" i="3"/>
  <c r="F95" i="3" s="1"/>
  <c r="E94" i="3"/>
  <c r="F94" i="3" s="1"/>
  <c r="G94" i="3" s="1"/>
  <c r="E93" i="3"/>
  <c r="F93" i="3" s="1"/>
  <c r="G93" i="3" s="1"/>
  <c r="E92" i="3"/>
  <c r="F92" i="3" s="1"/>
  <c r="E88" i="3"/>
  <c r="F88" i="3" s="1"/>
  <c r="E87" i="3"/>
  <c r="F87" i="3" s="1"/>
  <c r="G87" i="3" s="1"/>
  <c r="D82" i="8"/>
  <c r="C82" i="8"/>
  <c r="D80" i="8"/>
  <c r="C80" i="8"/>
  <c r="D79" i="8"/>
  <c r="C79" i="8"/>
  <c r="D78" i="8"/>
  <c r="C78" i="8"/>
  <c r="D81" i="8"/>
  <c r="C81" i="8"/>
  <c r="D77" i="8"/>
  <c r="C77" i="8"/>
  <c r="D74" i="8"/>
  <c r="C74" i="8"/>
  <c r="D75" i="8"/>
  <c r="C75" i="8"/>
  <c r="D76" i="8"/>
  <c r="C76" i="8"/>
  <c r="D72" i="8"/>
  <c r="C72" i="8"/>
  <c r="D71" i="8"/>
  <c r="C71" i="8"/>
  <c r="D73" i="8"/>
  <c r="C73" i="8"/>
  <c r="D64" i="8"/>
  <c r="C64" i="8"/>
  <c r="D66" i="8"/>
  <c r="C66" i="8"/>
  <c r="D70" i="8"/>
  <c r="C70" i="8"/>
  <c r="D65" i="8"/>
  <c r="C65" i="8"/>
  <c r="D68" i="8"/>
  <c r="C68" i="8"/>
  <c r="D69" i="8"/>
  <c r="C69" i="8"/>
  <c r="D67" i="8"/>
  <c r="C67" i="8"/>
  <c r="D63" i="8"/>
  <c r="C63" i="8"/>
  <c r="D61" i="8"/>
  <c r="C61" i="8"/>
  <c r="D57" i="8"/>
  <c r="C57" i="8"/>
  <c r="D56" i="8"/>
  <c r="C56" i="8"/>
  <c r="D59" i="8"/>
  <c r="C59" i="8"/>
  <c r="D58" i="8"/>
  <c r="C58" i="8"/>
  <c r="D50" i="8"/>
  <c r="C50" i="8"/>
  <c r="D55" i="8"/>
  <c r="C55" i="8"/>
  <c r="D53" i="8"/>
  <c r="C53" i="8"/>
  <c r="D52" i="8"/>
  <c r="C52" i="8"/>
  <c r="D49" i="8"/>
  <c r="C49" i="8"/>
  <c r="D54" i="8"/>
  <c r="C54" i="8"/>
  <c r="D48" i="8"/>
  <c r="C48" i="8"/>
  <c r="D46" i="8"/>
  <c r="C46" i="8"/>
  <c r="D47" i="8"/>
  <c r="C47" i="8"/>
  <c r="D41" i="8"/>
  <c r="C41" i="8"/>
  <c r="D44" i="8"/>
  <c r="C44" i="8"/>
  <c r="D39" i="8"/>
  <c r="C39" i="8"/>
  <c r="D42" i="8"/>
  <c r="C42" i="8"/>
  <c r="D45" i="8"/>
  <c r="C45" i="8"/>
  <c r="D38" i="8"/>
  <c r="C38" i="8"/>
  <c r="D40" i="8"/>
  <c r="C40" i="8"/>
  <c r="D43" i="8"/>
  <c r="C43" i="8"/>
  <c r="D37" i="8"/>
  <c r="C37" i="8"/>
  <c r="D35" i="8"/>
  <c r="C35" i="8"/>
  <c r="D51" i="8"/>
  <c r="C51" i="8"/>
  <c r="D36" i="8"/>
  <c r="C36" i="8"/>
  <c r="D33" i="8"/>
  <c r="C33" i="8"/>
  <c r="D34" i="8"/>
  <c r="C34" i="8"/>
  <c r="D32" i="8"/>
  <c r="C32" i="8"/>
  <c r="D30" i="8"/>
  <c r="C30" i="8"/>
  <c r="D31" i="8"/>
  <c r="C31" i="8"/>
  <c r="D29" i="8"/>
  <c r="C29" i="8"/>
  <c r="D23" i="8"/>
  <c r="C23" i="8"/>
  <c r="D25" i="8"/>
  <c r="C25" i="8"/>
  <c r="D22" i="8"/>
  <c r="C22" i="8"/>
  <c r="D27" i="8"/>
  <c r="C27" i="8"/>
  <c r="D26" i="8"/>
  <c r="C26" i="8"/>
  <c r="D24" i="8"/>
  <c r="C24" i="8"/>
  <c r="D28" i="8"/>
  <c r="C28" i="8"/>
  <c r="D21" i="8"/>
  <c r="C21" i="8"/>
  <c r="D20" i="8"/>
  <c r="C20" i="8"/>
  <c r="D13" i="8"/>
  <c r="C13" i="8"/>
  <c r="D19" i="8"/>
  <c r="C19" i="8"/>
  <c r="D8" i="8"/>
  <c r="C8" i="8"/>
  <c r="D18" i="8"/>
  <c r="C18" i="8"/>
  <c r="D14" i="8"/>
  <c r="C14" i="8"/>
  <c r="D5" i="8"/>
  <c r="C5" i="8"/>
  <c r="D16" i="8"/>
  <c r="C16" i="8"/>
  <c r="D15" i="8"/>
  <c r="C15" i="8"/>
  <c r="D6" i="8"/>
  <c r="C6" i="8"/>
  <c r="D9" i="8"/>
  <c r="C9" i="8"/>
  <c r="D4" i="8"/>
  <c r="C4" i="8"/>
  <c r="D17" i="8"/>
  <c r="C17" i="8"/>
  <c r="D7" i="8"/>
  <c r="C7" i="8"/>
  <c r="D12" i="8"/>
  <c r="C12" i="8"/>
  <c r="D11" i="8"/>
  <c r="C11" i="8"/>
  <c r="D10" i="8"/>
  <c r="C10" i="8"/>
  <c r="Y83" i="3"/>
  <c r="K95" i="3" l="1"/>
  <c r="L95" i="3"/>
  <c r="G102" i="7"/>
  <c r="G104" i="7" s="1"/>
  <c r="G100" i="7"/>
  <c r="J95" i="3"/>
  <c r="I95" i="3"/>
  <c r="G98" i="7"/>
  <c r="V58" i="7"/>
  <c r="R58" i="14"/>
  <c r="V62" i="7"/>
  <c r="R62" i="14"/>
  <c r="V34" i="7"/>
  <c r="R34" i="14"/>
  <c r="V40" i="7"/>
  <c r="R40" i="14"/>
  <c r="V16" i="7"/>
  <c r="R16" i="14"/>
  <c r="V46" i="7"/>
  <c r="R46" i="14"/>
  <c r="V7" i="7"/>
  <c r="R7" i="14"/>
  <c r="V52" i="7"/>
  <c r="R52" i="14"/>
  <c r="V37" i="7"/>
  <c r="R37" i="14"/>
  <c r="V15" i="7"/>
  <c r="R15" i="14"/>
  <c r="V18" i="7"/>
  <c r="R18" i="14"/>
  <c r="V22" i="7"/>
  <c r="R22" i="14"/>
  <c r="V24" i="7"/>
  <c r="R24" i="14"/>
  <c r="V66" i="7"/>
  <c r="R66" i="14"/>
  <c r="V65" i="7"/>
  <c r="R65" i="14"/>
  <c r="V14" i="7"/>
  <c r="R14" i="14"/>
  <c r="V33" i="7"/>
  <c r="R33" i="14"/>
  <c r="V8" i="7"/>
  <c r="R8" i="14"/>
  <c r="V36" i="7"/>
  <c r="R36" i="14"/>
  <c r="V41" i="7"/>
  <c r="R41" i="14"/>
  <c r="V59" i="7"/>
  <c r="R59" i="14"/>
  <c r="V42" i="7"/>
  <c r="R42" i="14"/>
  <c r="V54" i="7"/>
  <c r="R54" i="14"/>
  <c r="V39" i="7"/>
  <c r="R39" i="14"/>
  <c r="V31" i="7"/>
  <c r="R31" i="14"/>
  <c r="V23" i="7"/>
  <c r="R23" i="14"/>
  <c r="V60" i="7"/>
  <c r="R60" i="14"/>
  <c r="V82" i="7"/>
  <c r="R82" i="14"/>
  <c r="V30" i="7"/>
  <c r="R30" i="14"/>
  <c r="V51" i="7"/>
  <c r="R51" i="14"/>
  <c r="V12" i="7"/>
  <c r="R12" i="14"/>
  <c r="V72" i="7"/>
  <c r="R72" i="14"/>
  <c r="V6" i="7"/>
  <c r="R6" i="14"/>
  <c r="V76" i="7"/>
  <c r="R76" i="14"/>
  <c r="V20" i="7"/>
  <c r="R20" i="14"/>
  <c r="V47" i="7"/>
  <c r="R47" i="14"/>
  <c r="V43" i="7"/>
  <c r="R43" i="14"/>
  <c r="V80" i="7"/>
  <c r="R80" i="14"/>
  <c r="V64" i="7"/>
  <c r="R64" i="14"/>
  <c r="V35" i="7"/>
  <c r="R35" i="14"/>
  <c r="V50" i="7"/>
  <c r="R50" i="14"/>
  <c r="V26" i="7"/>
  <c r="R26" i="14"/>
  <c r="V28" i="7"/>
  <c r="R28" i="14"/>
  <c r="V56" i="7"/>
  <c r="R56" i="14"/>
  <c r="H93" i="3"/>
  <c r="I93" i="3" s="1"/>
  <c r="J93" i="3" s="1"/>
  <c r="K93" i="3" s="1"/>
  <c r="G92" i="3"/>
  <c r="H92" i="3" s="1"/>
  <c r="I92" i="3" s="1"/>
  <c r="J92" i="3" s="1"/>
  <c r="K92" i="3" s="1"/>
  <c r="L92" i="3" s="1"/>
  <c r="G96" i="7"/>
  <c r="G95" i="7"/>
  <c r="G95" i="3"/>
  <c r="H95" i="3"/>
  <c r="G94" i="7"/>
  <c r="G88" i="3"/>
  <c r="G10" i="19"/>
  <c r="H10" i="19" s="1"/>
  <c r="G16" i="19"/>
  <c r="H16" i="19" s="1"/>
  <c r="G13" i="19"/>
  <c r="H13" i="19" s="1"/>
  <c r="G24" i="19"/>
  <c r="H24" i="19" s="1"/>
  <c r="G23" i="19"/>
  <c r="H23" i="19" s="1"/>
  <c r="G32" i="19"/>
  <c r="H32" i="19" s="1"/>
  <c r="G51" i="19"/>
  <c r="H51" i="19" s="1"/>
  <c r="G40" i="19"/>
  <c r="H40" i="19" s="1"/>
  <c r="G48" i="19"/>
  <c r="H48" i="19" s="1"/>
  <c r="G54" i="19"/>
  <c r="H54" i="19" s="1"/>
  <c r="G55" i="19"/>
  <c r="H55" i="19" s="1"/>
  <c r="G56" i="19"/>
  <c r="H56" i="19" s="1"/>
  <c r="G69" i="19"/>
  <c r="H69" i="19" s="1"/>
  <c r="G64" i="19"/>
  <c r="H64" i="19" s="1"/>
  <c r="G76" i="19"/>
  <c r="H76" i="19" s="1"/>
  <c r="G81" i="19"/>
  <c r="H81" i="19" s="1"/>
  <c r="G82" i="19"/>
  <c r="H82" i="19" s="1"/>
  <c r="G17" i="19"/>
  <c r="H17" i="19" s="1"/>
  <c r="G15" i="19"/>
  <c r="H15" i="19" s="1"/>
  <c r="G19" i="19"/>
  <c r="H19" i="19" s="1"/>
  <c r="G7" i="19"/>
  <c r="H7" i="19" s="1"/>
  <c r="G6" i="19"/>
  <c r="H6" i="19" s="1"/>
  <c r="G8" i="19"/>
  <c r="H8" i="19" s="1"/>
  <c r="G28" i="19"/>
  <c r="H28" i="19" s="1"/>
  <c r="G25" i="19"/>
  <c r="H25" i="19" s="1"/>
  <c r="G30" i="19"/>
  <c r="H30" i="19" s="1"/>
  <c r="G36" i="19"/>
  <c r="H36" i="19" s="1"/>
  <c r="G43" i="19"/>
  <c r="H43" i="19" s="1"/>
  <c r="G42" i="19"/>
  <c r="H42" i="19" s="1"/>
  <c r="G46" i="19"/>
  <c r="H46" i="19" s="1"/>
  <c r="G53" i="19"/>
  <c r="H53" i="19" s="1"/>
  <c r="G67" i="19"/>
  <c r="H67" i="19" s="1"/>
  <c r="G66" i="19"/>
  <c r="H66" i="19" s="1"/>
  <c r="G72" i="19"/>
  <c r="H72" i="19" s="1"/>
  <c r="G77" i="19"/>
  <c r="H77" i="19" s="1"/>
  <c r="G80" i="19"/>
  <c r="H80" i="19" s="1"/>
  <c r="G59" i="19"/>
  <c r="H59" i="19" s="1"/>
  <c r="G12" i="19"/>
  <c r="H12" i="19" s="1"/>
  <c r="G9" i="19"/>
  <c r="H9" i="19" s="1"/>
  <c r="G14" i="19"/>
  <c r="H14" i="19" s="1"/>
  <c r="G18" i="19"/>
  <c r="H18" i="19" s="1"/>
  <c r="G21" i="19"/>
  <c r="H21" i="19" s="1"/>
  <c r="G22" i="19"/>
  <c r="H22" i="19" s="1"/>
  <c r="G31" i="19"/>
  <c r="H31" i="19" s="1"/>
  <c r="G33" i="19"/>
  <c r="H33" i="19" s="1"/>
  <c r="G45" i="19"/>
  <c r="H45" i="19" s="1"/>
  <c r="G47" i="19"/>
  <c r="H47" i="19" s="1"/>
  <c r="G52" i="19"/>
  <c r="H52" i="19" s="1"/>
  <c r="G58" i="19"/>
  <c r="H58" i="19" s="1"/>
  <c r="G63" i="19"/>
  <c r="H63" i="19" s="1"/>
  <c r="G65" i="19"/>
  <c r="H65" i="19" s="1"/>
  <c r="G70" i="19"/>
  <c r="H70" i="19" s="1"/>
  <c r="G71" i="19"/>
  <c r="H71" i="19" s="1"/>
  <c r="G74" i="19"/>
  <c r="H74" i="19" s="1"/>
  <c r="G79" i="19"/>
  <c r="H79" i="19" s="1"/>
  <c r="G11" i="19"/>
  <c r="H11" i="19" s="1"/>
  <c r="G4" i="19"/>
  <c r="G5" i="19"/>
  <c r="H5" i="19" s="1"/>
  <c r="G20" i="19"/>
  <c r="H20" i="19" s="1"/>
  <c r="G26" i="19"/>
  <c r="H26" i="19" s="1"/>
  <c r="G27" i="19"/>
  <c r="H27" i="19" s="1"/>
  <c r="G29" i="19"/>
  <c r="H29" i="19" s="1"/>
  <c r="G34" i="19"/>
  <c r="H34" i="19" s="1"/>
  <c r="G35" i="19"/>
  <c r="H35" i="19" s="1"/>
  <c r="G44" i="19"/>
  <c r="H44" i="19" s="1"/>
  <c r="G41" i="19"/>
  <c r="H41" i="19" s="1"/>
  <c r="G49" i="19"/>
  <c r="H49" i="19" s="1"/>
  <c r="G50" i="19"/>
  <c r="H50" i="19" s="1"/>
  <c r="G57" i="19"/>
  <c r="H57" i="19" s="1"/>
  <c r="G61" i="19"/>
  <c r="H61" i="19" s="1"/>
  <c r="G68" i="19"/>
  <c r="H68" i="19" s="1"/>
  <c r="G73" i="19"/>
  <c r="H73" i="19" s="1"/>
  <c r="G75" i="19"/>
  <c r="H75" i="19" s="1"/>
  <c r="J83" i="3"/>
  <c r="R83" i="3"/>
  <c r="D83" i="3"/>
  <c r="K83" i="3"/>
  <c r="N83" i="3"/>
  <c r="E83" i="3"/>
  <c r="C60" i="8"/>
  <c r="C62" i="8"/>
  <c r="I83" i="3"/>
  <c r="D60" i="8"/>
  <c r="D62" i="8"/>
  <c r="Z83" i="3"/>
  <c r="S83" i="7"/>
  <c r="R4" i="14"/>
  <c r="L93" i="3" l="1"/>
  <c r="S54" i="3" s="1"/>
  <c r="R83" i="14"/>
  <c r="T83" i="7"/>
  <c r="T85" i="7" s="1"/>
  <c r="R84" i="14" s="1"/>
  <c r="V4" i="7"/>
  <c r="V83" i="7" s="1"/>
  <c r="G78" i="19"/>
  <c r="H78" i="19" s="1"/>
  <c r="G38" i="19"/>
  <c r="H38" i="19" s="1"/>
  <c r="G37" i="19"/>
  <c r="H37" i="19" s="1"/>
  <c r="G39" i="19"/>
  <c r="H39" i="19" s="1"/>
  <c r="L83" i="3"/>
  <c r="C83" i="8"/>
  <c r="D83" i="8"/>
  <c r="M83" i="3"/>
  <c r="G60" i="19"/>
  <c r="H60" i="19" s="1"/>
  <c r="H4" i="19"/>
  <c r="D83" i="19"/>
  <c r="S68" i="3" l="1"/>
  <c r="S120" i="3"/>
  <c r="U120" i="3" s="1"/>
  <c r="S47" i="3"/>
  <c r="S64" i="3"/>
  <c r="S49" i="3"/>
  <c r="S76" i="3"/>
  <c r="S70" i="3"/>
  <c r="U70" i="3" s="1"/>
  <c r="S65" i="3"/>
  <c r="S22" i="3"/>
  <c r="S58" i="3"/>
  <c r="S74" i="3"/>
  <c r="S19" i="3"/>
  <c r="S4" i="3"/>
  <c r="S12" i="3"/>
  <c r="S6" i="3"/>
  <c r="U6" i="3" s="1"/>
  <c r="S82" i="3"/>
  <c r="U82" i="3" s="1"/>
  <c r="S81" i="3"/>
  <c r="S32" i="3"/>
  <c r="S11" i="3"/>
  <c r="S34" i="3"/>
  <c r="U34" i="3" s="1"/>
  <c r="S55" i="3"/>
  <c r="S16" i="3"/>
  <c r="S14" i="3"/>
  <c r="U14" i="3" s="1"/>
  <c r="S15" i="3"/>
  <c r="S36" i="3"/>
  <c r="S13" i="3"/>
  <c r="S30" i="3"/>
  <c r="S77" i="3"/>
  <c r="S45" i="3"/>
  <c r="S62" i="3"/>
  <c r="S44" i="3"/>
  <c r="U44" i="3" s="1"/>
  <c r="S38" i="3"/>
  <c r="U38" i="3" s="1"/>
  <c r="S27" i="3"/>
  <c r="S67" i="3"/>
  <c r="U67" i="3" s="1"/>
  <c r="S23" i="3"/>
  <c r="S9" i="3"/>
  <c r="U9" i="3" s="1"/>
  <c r="S52" i="3"/>
  <c r="S57" i="3"/>
  <c r="S43" i="3"/>
  <c r="U43" i="3" s="1"/>
  <c r="S40" i="3"/>
  <c r="U40" i="3" s="1"/>
  <c r="S78" i="3"/>
  <c r="S21" i="3"/>
  <c r="U21" i="3" s="1"/>
  <c r="S35" i="3"/>
  <c r="S10" i="3"/>
  <c r="S8" i="3"/>
  <c r="S63" i="3"/>
  <c r="S51" i="3"/>
  <c r="S61" i="3"/>
  <c r="S53" i="3"/>
  <c r="S31" i="3"/>
  <c r="U31" i="3" s="1"/>
  <c r="S73" i="3"/>
  <c r="S71" i="3"/>
  <c r="S33" i="3"/>
  <c r="U33" i="3" s="1"/>
  <c r="S46" i="3"/>
  <c r="S56" i="3"/>
  <c r="U56" i="3" s="1"/>
  <c r="S48" i="3"/>
  <c r="S42" i="3"/>
  <c r="S29" i="3"/>
  <c r="S59" i="3"/>
  <c r="S18" i="3"/>
  <c r="S60" i="3"/>
  <c r="S79" i="3"/>
  <c r="S75" i="3"/>
  <c r="U75" i="3" s="1"/>
  <c r="S72" i="3"/>
  <c r="U72" i="3" s="1"/>
  <c r="S25" i="3"/>
  <c r="S50" i="3"/>
  <c r="S80" i="3"/>
  <c r="S39" i="3"/>
  <c r="U39" i="3" s="1"/>
  <c r="S7" i="3"/>
  <c r="U7" i="3" s="1"/>
  <c r="S20" i="3"/>
  <c r="S28" i="3"/>
  <c r="U28" i="3" s="1"/>
  <c r="S66" i="3"/>
  <c r="S41" i="3"/>
  <c r="S17" i="3"/>
  <c r="S24" i="3"/>
  <c r="S37" i="3"/>
  <c r="U37" i="3" s="1"/>
  <c r="S5" i="3"/>
  <c r="U5" i="3" s="1"/>
  <c r="S26" i="3"/>
  <c r="S69" i="3"/>
  <c r="N10" i="8"/>
  <c r="N51" i="8"/>
  <c r="N64" i="8"/>
  <c r="N34" i="8"/>
  <c r="N65" i="8"/>
  <c r="N28" i="8"/>
  <c r="N55" i="8"/>
  <c r="N9" i="8"/>
  <c r="N43" i="8"/>
  <c r="N72" i="8"/>
  <c r="N11" i="8"/>
  <c r="N17" i="8"/>
  <c r="N40" i="8"/>
  <c r="N76" i="8"/>
  <c r="N35" i="8"/>
  <c r="N73" i="8"/>
  <c r="N22" i="8"/>
  <c r="N56" i="8"/>
  <c r="N19" i="8"/>
  <c r="N42" i="8"/>
  <c r="N77" i="8"/>
  <c r="N54" i="8"/>
  <c r="N15" i="8"/>
  <c r="N39" i="8"/>
  <c r="N81" i="8"/>
  <c r="N38" i="8"/>
  <c r="N75" i="8"/>
  <c r="N31" i="8"/>
  <c r="N67" i="8"/>
  <c r="N6" i="8"/>
  <c r="N47" i="8"/>
  <c r="N80" i="8"/>
  <c r="N29" i="8"/>
  <c r="N36" i="8"/>
  <c r="N18" i="8"/>
  <c r="N46" i="8"/>
  <c r="N82" i="8"/>
  <c r="N44" i="8"/>
  <c r="N78" i="8"/>
  <c r="N33" i="8"/>
  <c r="N70" i="8"/>
  <c r="N14" i="8"/>
  <c r="N49" i="8"/>
  <c r="N7" i="8"/>
  <c r="N5" i="8"/>
  <c r="N20" i="8"/>
  <c r="N52" i="8"/>
  <c r="N16" i="8"/>
  <c r="N48" i="8"/>
  <c r="N4" i="8"/>
  <c r="N37" i="8"/>
  <c r="N71" i="8"/>
  <c r="N24" i="8"/>
  <c r="N50" i="8"/>
  <c r="N13" i="8"/>
  <c r="N63" i="8"/>
  <c r="N26" i="8"/>
  <c r="N58" i="8"/>
  <c r="N8" i="8"/>
  <c r="N53" i="8"/>
  <c r="N21" i="8"/>
  <c r="N45" i="8"/>
  <c r="N74" i="8"/>
  <c r="N25" i="8"/>
  <c r="N57" i="8"/>
  <c r="N68" i="8"/>
  <c r="N23" i="8"/>
  <c r="N61" i="8"/>
  <c r="N27" i="8"/>
  <c r="N59" i="8"/>
  <c r="N12" i="8"/>
  <c r="N41" i="8"/>
  <c r="N79" i="8"/>
  <c r="N30" i="8"/>
  <c r="N69" i="8"/>
  <c r="N32" i="8"/>
  <c r="N66" i="8"/>
  <c r="N60" i="8"/>
  <c r="N62" i="8"/>
  <c r="R85" i="14"/>
  <c r="U81" i="3"/>
  <c r="U59" i="3"/>
  <c r="U8" i="3"/>
  <c r="U46" i="3"/>
  <c r="U12" i="3"/>
  <c r="U78" i="3"/>
  <c r="U16" i="3"/>
  <c r="U23" i="3"/>
  <c r="U36" i="3"/>
  <c r="U45" i="3"/>
  <c r="U79" i="3"/>
  <c r="U20" i="3"/>
  <c r="U53" i="3"/>
  <c r="U41" i="3"/>
  <c r="U58" i="3"/>
  <c r="U74" i="3"/>
  <c r="U54" i="3"/>
  <c r="U35" i="3"/>
  <c r="U4" i="3"/>
  <c r="U76" i="3"/>
  <c r="U50" i="3"/>
  <c r="U47" i="3"/>
  <c r="U27" i="3"/>
  <c r="U64" i="3"/>
  <c r="U80" i="3"/>
  <c r="U32" i="3"/>
  <c r="U26" i="3"/>
  <c r="U22" i="3"/>
  <c r="U68" i="3"/>
  <c r="U63" i="3"/>
  <c r="U73" i="3"/>
  <c r="U11" i="3"/>
  <c r="U30" i="3"/>
  <c r="U24" i="3"/>
  <c r="U25" i="3"/>
  <c r="U42" i="3"/>
  <c r="U57" i="3"/>
  <c r="U49" i="3"/>
  <c r="U51" i="3"/>
  <c r="U62" i="3"/>
  <c r="U29" i="3" l="1"/>
  <c r="U69" i="3"/>
  <c r="U61" i="3"/>
  <c r="U15" i="3"/>
  <c r="U65" i="3"/>
  <c r="U48" i="3"/>
  <c r="U66" i="3"/>
  <c r="W66" i="3" s="1"/>
  <c r="AE66" i="3" s="1"/>
  <c r="AG66" i="3" s="1"/>
  <c r="U17" i="3"/>
  <c r="U13" i="3"/>
  <c r="S83" i="3"/>
  <c r="U60" i="3"/>
  <c r="U55" i="3"/>
  <c r="U10" i="3"/>
  <c r="U19" i="3"/>
  <c r="U18" i="3"/>
  <c r="U77" i="3"/>
  <c r="U52" i="3"/>
  <c r="U71" i="3"/>
  <c r="Q47" i="14"/>
  <c r="P47" i="8"/>
  <c r="Q65" i="14"/>
  <c r="P65" i="8"/>
  <c r="Q77" i="14"/>
  <c r="P77" i="8"/>
  <c r="Q23" i="14"/>
  <c r="P23" i="8"/>
  <c r="Q55" i="14"/>
  <c r="P55" i="8"/>
  <c r="Q81" i="14"/>
  <c r="P81" i="8"/>
  <c r="Q52" i="14"/>
  <c r="P52" i="8"/>
  <c r="Q15" i="14"/>
  <c r="P15" i="8"/>
  <c r="Q7" i="14"/>
  <c r="P7" i="8"/>
  <c r="Q80" i="14"/>
  <c r="P80" i="8"/>
  <c r="Q24" i="14"/>
  <c r="P24" i="8"/>
  <c r="Q27" i="14"/>
  <c r="P27" i="8"/>
  <c r="Q44" i="14"/>
  <c r="P44" i="8"/>
  <c r="Q69" i="14"/>
  <c r="P69" i="8"/>
  <c r="Q38" i="14"/>
  <c r="P38" i="8"/>
  <c r="Q40" i="14"/>
  <c r="P40" i="8"/>
  <c r="Q60" i="14"/>
  <c r="P60" i="8"/>
  <c r="Q37" i="14"/>
  <c r="P37" i="8"/>
  <c r="Q59" i="14"/>
  <c r="P59" i="8"/>
  <c r="Q63" i="14"/>
  <c r="P63" i="8"/>
  <c r="Q19" i="14"/>
  <c r="P19" i="8"/>
  <c r="Q34" i="14"/>
  <c r="P34" i="8"/>
  <c r="Q22" i="14"/>
  <c r="P22" i="8"/>
  <c r="Q5" i="14"/>
  <c r="P5" i="8"/>
  <c r="Q16" i="14"/>
  <c r="P16" i="8"/>
  <c r="Q78" i="14"/>
  <c r="P78" i="8"/>
  <c r="Q25" i="14"/>
  <c r="P25" i="8"/>
  <c r="Q9" i="14"/>
  <c r="P9" i="8"/>
  <c r="Q49" i="14"/>
  <c r="P49" i="8"/>
  <c r="Q43" i="14"/>
  <c r="P43" i="8"/>
  <c r="Q4" i="14"/>
  <c r="P4" i="8"/>
  <c r="Q39" i="14"/>
  <c r="P39" i="8"/>
  <c r="Q64" i="14"/>
  <c r="P64" i="8"/>
  <c r="Q41" i="14"/>
  <c r="P41" i="8"/>
  <c r="Q13" i="14"/>
  <c r="P13" i="8"/>
  <c r="Q12" i="14"/>
  <c r="P12" i="8"/>
  <c r="Q10" i="14"/>
  <c r="P10" i="8"/>
  <c r="Q58" i="14"/>
  <c r="P58" i="8"/>
  <c r="Q57" i="14"/>
  <c r="P57" i="8"/>
  <c r="Q6" i="14"/>
  <c r="P6" i="8"/>
  <c r="Q36" i="14"/>
  <c r="P36" i="8"/>
  <c r="Q50" i="14"/>
  <c r="P50" i="8"/>
  <c r="Q21" i="14"/>
  <c r="P21" i="8"/>
  <c r="Q74" i="14"/>
  <c r="P74" i="8"/>
  <c r="Q31" i="14"/>
  <c r="P31" i="8"/>
  <c r="Q46" i="14"/>
  <c r="P46" i="8"/>
  <c r="Q42" i="14"/>
  <c r="P42" i="8"/>
  <c r="Q79" i="14"/>
  <c r="P79" i="8"/>
  <c r="Q26" i="14"/>
  <c r="P26" i="8"/>
  <c r="Q67" i="14"/>
  <c r="P67" i="8"/>
  <c r="Q82" i="14"/>
  <c r="P82" i="8"/>
  <c r="Q76" i="14"/>
  <c r="P76" i="8"/>
  <c r="Q70" i="14"/>
  <c r="P70" i="8"/>
  <c r="Q45" i="14"/>
  <c r="P45" i="8"/>
  <c r="Q35" i="14"/>
  <c r="P35" i="8"/>
  <c r="Q48" i="14"/>
  <c r="P48" i="8"/>
  <c r="Q51" i="14"/>
  <c r="P51" i="8"/>
  <c r="Q56" i="14"/>
  <c r="P56" i="8"/>
  <c r="Q54" i="14"/>
  <c r="P54" i="8"/>
  <c r="Q72" i="14"/>
  <c r="P72" i="8"/>
  <c r="Q17" i="14"/>
  <c r="P17" i="8"/>
  <c r="Q75" i="14"/>
  <c r="P75" i="8"/>
  <c r="Q68" i="14"/>
  <c r="P68" i="8"/>
  <c r="Q28" i="14"/>
  <c r="P28" i="8"/>
  <c r="Q18" i="14"/>
  <c r="P18" i="8"/>
  <c r="Q32" i="14"/>
  <c r="P32" i="8"/>
  <c r="Q71" i="14"/>
  <c r="P71" i="8"/>
  <c r="Q30" i="14"/>
  <c r="P30" i="8"/>
  <c r="Q53" i="14"/>
  <c r="P53" i="8"/>
  <c r="Q62" i="14"/>
  <c r="P62" i="8"/>
  <c r="Q73" i="14"/>
  <c r="P73" i="8"/>
  <c r="Q66" i="14"/>
  <c r="P66" i="8"/>
  <c r="Q14" i="14"/>
  <c r="P14" i="8"/>
  <c r="Q29" i="14"/>
  <c r="P29" i="8"/>
  <c r="Q33" i="14"/>
  <c r="P33" i="8"/>
  <c r="Q8" i="14"/>
  <c r="P8" i="8"/>
  <c r="Q20" i="14"/>
  <c r="P20" i="8"/>
  <c r="Q61" i="14"/>
  <c r="P61" i="8"/>
  <c r="Q11" i="14"/>
  <c r="P11" i="8"/>
  <c r="W70" i="3"/>
  <c r="AE70" i="3" s="1"/>
  <c r="AG70" i="3" s="1"/>
  <c r="W76" i="3"/>
  <c r="AE76" i="3" s="1"/>
  <c r="AG76" i="3" s="1"/>
  <c r="W65" i="3"/>
  <c r="AE65" i="3" s="1"/>
  <c r="AG65" i="3" s="1"/>
  <c r="W26" i="3"/>
  <c r="AE26" i="3" s="1"/>
  <c r="AG26" i="3" s="1"/>
  <c r="W20" i="3"/>
  <c r="AE20" i="3" s="1"/>
  <c r="AG20" i="3" s="1"/>
  <c r="W35" i="3"/>
  <c r="W27" i="3"/>
  <c r="AE27" i="3" s="1"/>
  <c r="AG27" i="3" s="1"/>
  <c r="W11" i="3"/>
  <c r="AE11" i="3" s="1"/>
  <c r="AG11" i="3" s="1"/>
  <c r="W13" i="3"/>
  <c r="AE13" i="3" s="1"/>
  <c r="AG13" i="3" s="1"/>
  <c r="W82" i="3"/>
  <c r="AE82" i="3" s="1"/>
  <c r="AG82" i="3" s="1"/>
  <c r="W41" i="3"/>
  <c r="AE41" i="3" s="1"/>
  <c r="AG41" i="3" s="1"/>
  <c r="W5" i="3"/>
  <c r="AE5" i="3" s="1"/>
  <c r="AG5" i="3" s="1"/>
  <c r="W16" i="3"/>
  <c r="AE16" i="3" s="1"/>
  <c r="AG16" i="3" s="1"/>
  <c r="W14" i="3"/>
  <c r="AE14" i="3" s="1"/>
  <c r="AG14" i="3" s="1"/>
  <c r="W57" i="3"/>
  <c r="AE57" i="3" s="1"/>
  <c r="AG57" i="3" s="1"/>
  <c r="W67" i="3"/>
  <c r="AE67" i="3" s="1"/>
  <c r="AG67" i="3" s="1"/>
  <c r="W7" i="3"/>
  <c r="AE7" i="3" s="1"/>
  <c r="AG7" i="3" s="1"/>
  <c r="W50" i="3"/>
  <c r="AE50" i="3" s="1"/>
  <c r="AG50" i="3" s="1"/>
  <c r="N83" i="8"/>
  <c r="U86" i="3" l="1"/>
  <c r="U87" i="3" s="1"/>
  <c r="W19" i="3"/>
  <c r="AE19" i="3" s="1"/>
  <c r="AG19" i="3" s="1"/>
  <c r="W77" i="3"/>
  <c r="AE77" i="3" s="1"/>
  <c r="AG77" i="3" s="1"/>
  <c r="Q83" i="14"/>
  <c r="AE35" i="3"/>
  <c r="N85" i="8"/>
  <c r="Q84" i="14" s="1"/>
  <c r="P83" i="8"/>
  <c r="C70" i="14"/>
  <c r="C7" i="14"/>
  <c r="C16" i="14"/>
  <c r="C82" i="14"/>
  <c r="C11" i="14"/>
  <c r="C77" i="14"/>
  <c r="C65" i="14"/>
  <c r="C27" i="14"/>
  <c r="C67" i="14"/>
  <c r="C5" i="14"/>
  <c r="C66" i="14"/>
  <c r="C76" i="14"/>
  <c r="C26" i="14"/>
  <c r="C57" i="14"/>
  <c r="C50" i="14"/>
  <c r="C14" i="14"/>
  <c r="C41" i="14"/>
  <c r="C13" i="14"/>
  <c r="C20" i="14"/>
  <c r="W49" i="3"/>
  <c r="AE49" i="3" s="1"/>
  <c r="AG49" i="3" s="1"/>
  <c r="W25" i="3"/>
  <c r="AE25" i="3" s="1"/>
  <c r="AG25" i="3" s="1"/>
  <c r="W22" i="3"/>
  <c r="AE22" i="3" s="1"/>
  <c r="AG22" i="3" s="1"/>
  <c r="W78" i="3"/>
  <c r="AE78" i="3" s="1"/>
  <c r="AG78" i="3" s="1"/>
  <c r="W15" i="3"/>
  <c r="AE15" i="3" s="1"/>
  <c r="AG15" i="3" s="1"/>
  <c r="W45" i="3"/>
  <c r="AE45" i="3" s="1"/>
  <c r="AG45" i="3" s="1"/>
  <c r="W44" i="3"/>
  <c r="AE44" i="3" s="1"/>
  <c r="AG44" i="3" s="1"/>
  <c r="W79" i="3"/>
  <c r="AE79" i="3" s="1"/>
  <c r="AG79" i="3" s="1"/>
  <c r="W9" i="3"/>
  <c r="AE9" i="3" s="1"/>
  <c r="AG9" i="3" s="1"/>
  <c r="W75" i="3"/>
  <c r="AE75" i="3" s="1"/>
  <c r="AG75" i="3" s="1"/>
  <c r="W4" i="3"/>
  <c r="W17" i="3"/>
  <c r="AE17" i="3" s="1"/>
  <c r="AG17" i="3" s="1"/>
  <c r="W30" i="3"/>
  <c r="AE30" i="3" s="1"/>
  <c r="AG30" i="3" s="1"/>
  <c r="W52" i="3"/>
  <c r="AE52" i="3" s="1"/>
  <c r="AG52" i="3" s="1"/>
  <c r="W71" i="3"/>
  <c r="AE71" i="3" s="1"/>
  <c r="AG71" i="3" s="1"/>
  <c r="W24" i="3"/>
  <c r="AE24" i="3" s="1"/>
  <c r="AG24" i="3" s="1"/>
  <c r="W47" i="3"/>
  <c r="AE47" i="3" s="1"/>
  <c r="AG47" i="3" s="1"/>
  <c r="W12" i="3"/>
  <c r="AE12" i="3" s="1"/>
  <c r="AG12" i="3" s="1"/>
  <c r="W37" i="3"/>
  <c r="AE37" i="3" s="1"/>
  <c r="AG37" i="3" s="1"/>
  <c r="W68" i="3"/>
  <c r="AE68" i="3" s="1"/>
  <c r="AG68" i="3" s="1"/>
  <c r="W39" i="3"/>
  <c r="AE39" i="3" s="1"/>
  <c r="AG39" i="3" s="1"/>
  <c r="W64" i="3"/>
  <c r="AE64" i="3" s="1"/>
  <c r="AG64" i="3" s="1"/>
  <c r="W58" i="3"/>
  <c r="AE58" i="3" s="1"/>
  <c r="AG58" i="3" s="1"/>
  <c r="W10" i="3"/>
  <c r="AE10" i="3" s="1"/>
  <c r="AG10" i="3" s="1"/>
  <c r="W21" i="3"/>
  <c r="W32" i="3"/>
  <c r="W81" i="3"/>
  <c r="AE81" i="3" s="1"/>
  <c r="AG81" i="3" s="1"/>
  <c r="W80" i="3"/>
  <c r="AE80" i="3" s="1"/>
  <c r="AG80" i="3" s="1"/>
  <c r="W42" i="3"/>
  <c r="AE42" i="3" s="1"/>
  <c r="AG42" i="3" s="1"/>
  <c r="W6" i="3"/>
  <c r="AE6" i="3" s="1"/>
  <c r="AG6" i="3" s="1"/>
  <c r="W54" i="3"/>
  <c r="AE54" i="3" s="1"/>
  <c r="AG54" i="3" s="1"/>
  <c r="W28" i="3"/>
  <c r="AE28" i="3" s="1"/>
  <c r="AG28" i="3" s="1"/>
  <c r="W18" i="3"/>
  <c r="AE18" i="3" s="1"/>
  <c r="AG18" i="3" s="1"/>
  <c r="W55" i="3"/>
  <c r="AE55" i="3" s="1"/>
  <c r="AG55" i="3" s="1"/>
  <c r="W43" i="3"/>
  <c r="AE43" i="3" s="1"/>
  <c r="AG43" i="3" s="1"/>
  <c r="W69" i="3"/>
  <c r="AE69" i="3" s="1"/>
  <c r="AG69" i="3" s="1"/>
  <c r="W74" i="3"/>
  <c r="AE74" i="3" s="1"/>
  <c r="AG74" i="3" s="1"/>
  <c r="W56" i="3"/>
  <c r="AE56" i="3" s="1"/>
  <c r="AG56" i="3" s="1"/>
  <c r="W8" i="3"/>
  <c r="AE8" i="3" s="1"/>
  <c r="AG8" i="3" s="1"/>
  <c r="W40" i="3"/>
  <c r="AE40" i="3" s="1"/>
  <c r="AG40" i="3" s="1"/>
  <c r="W51" i="3"/>
  <c r="AE51" i="3" s="1"/>
  <c r="AG51" i="3" s="1"/>
  <c r="W38" i="3"/>
  <c r="AE38" i="3" s="1"/>
  <c r="AG38" i="3" s="1"/>
  <c r="W73" i="3"/>
  <c r="AE73" i="3" s="1"/>
  <c r="AG73" i="3" s="1"/>
  <c r="W53" i="3"/>
  <c r="AE53" i="3" s="1"/>
  <c r="AG53" i="3" s="1"/>
  <c r="W46" i="3"/>
  <c r="AE46" i="3" s="1"/>
  <c r="AG46" i="3" s="1"/>
  <c r="W60" i="3"/>
  <c r="AE60" i="3" s="1"/>
  <c r="AG60" i="3" s="1"/>
  <c r="W34" i="3"/>
  <c r="AE34" i="3" s="1"/>
  <c r="AG34" i="3" s="1"/>
  <c r="W31" i="3"/>
  <c r="AE31" i="3" s="1"/>
  <c r="AG31" i="3" s="1"/>
  <c r="W61" i="3"/>
  <c r="AE61" i="3" s="1"/>
  <c r="AG61" i="3" s="1"/>
  <c r="W48" i="3"/>
  <c r="AE48" i="3" s="1"/>
  <c r="AG48" i="3" s="1"/>
  <c r="W33" i="3"/>
  <c r="AE33" i="3" s="1"/>
  <c r="AG33" i="3" s="1"/>
  <c r="T83" i="3"/>
  <c r="C19" i="14" l="1"/>
  <c r="C35" i="14"/>
  <c r="AG35" i="3"/>
  <c r="AE32" i="3"/>
  <c r="AE21" i="3"/>
  <c r="AE4" i="3"/>
  <c r="Q85" i="14"/>
  <c r="C33" i="14"/>
  <c r="C34" i="14"/>
  <c r="C73" i="14"/>
  <c r="C8" i="14"/>
  <c r="C43" i="14"/>
  <c r="C54" i="14"/>
  <c r="C81" i="14"/>
  <c r="C58" i="14"/>
  <c r="C37" i="14"/>
  <c r="C71" i="14"/>
  <c r="C44" i="14"/>
  <c r="C22" i="14"/>
  <c r="C56" i="14"/>
  <c r="C64" i="14"/>
  <c r="C12" i="14"/>
  <c r="C52" i="14"/>
  <c r="C75" i="14"/>
  <c r="C45" i="14"/>
  <c r="C25" i="14"/>
  <c r="C48" i="14"/>
  <c r="C38" i="14"/>
  <c r="C6" i="14"/>
  <c r="C61" i="14"/>
  <c r="C46" i="14"/>
  <c r="C51" i="14"/>
  <c r="C74" i="14"/>
  <c r="C18" i="14"/>
  <c r="C42" i="14"/>
  <c r="C39" i="14"/>
  <c r="C47" i="14"/>
  <c r="C30" i="14"/>
  <c r="C9" i="14"/>
  <c r="C15" i="14"/>
  <c r="C49" i="14"/>
  <c r="C60" i="14"/>
  <c r="C55" i="14"/>
  <c r="C31" i="14"/>
  <c r="C53" i="14"/>
  <c r="C40" i="14"/>
  <c r="C69" i="14"/>
  <c r="C28" i="14"/>
  <c r="C80" i="14"/>
  <c r="C10" i="14"/>
  <c r="C68" i="14"/>
  <c r="C24" i="14"/>
  <c r="C17" i="14"/>
  <c r="C79" i="14"/>
  <c r="C78" i="14"/>
  <c r="W63" i="3"/>
  <c r="W23" i="3"/>
  <c r="W29" i="3"/>
  <c r="W72" i="3"/>
  <c r="AE72" i="3" s="1"/>
  <c r="AG72" i="3" s="1"/>
  <c r="W59" i="3"/>
  <c r="W36" i="3"/>
  <c r="U83" i="3"/>
  <c r="G62" i="19"/>
  <c r="C21" i="14" l="1"/>
  <c r="AG21" i="3"/>
  <c r="C32" i="14"/>
  <c r="AG32" i="3"/>
  <c r="C4" i="14"/>
  <c r="AG4" i="3"/>
  <c r="AE29" i="3"/>
  <c r="AE59" i="3"/>
  <c r="AE63" i="3"/>
  <c r="AG63" i="3" s="1"/>
  <c r="AE36" i="3"/>
  <c r="AE23" i="3"/>
  <c r="C72" i="14"/>
  <c r="W62" i="3"/>
  <c r="V83" i="3"/>
  <c r="H62" i="19"/>
  <c r="G83" i="19"/>
  <c r="H83" i="19" s="1"/>
  <c r="AF38" i="22"/>
  <c r="AF6" i="22"/>
  <c r="AF39" i="22"/>
  <c r="AF56" i="22"/>
  <c r="AF57" i="22"/>
  <c r="AF11" i="22"/>
  <c r="AF51" i="22"/>
  <c r="AF74" i="22"/>
  <c r="AF26" i="22"/>
  <c r="AF68" i="22"/>
  <c r="AF47" i="22"/>
  <c r="AF41" i="22"/>
  <c r="AF79" i="22"/>
  <c r="AF16" i="22"/>
  <c r="AF18" i="22"/>
  <c r="AF28" i="22"/>
  <c r="AF73" i="22"/>
  <c r="AF43" i="22"/>
  <c r="AF81" i="22"/>
  <c r="AE78" i="22"/>
  <c r="AE63" i="22"/>
  <c r="AE35" i="22"/>
  <c r="AE38" i="22"/>
  <c r="AE5" i="22"/>
  <c r="AE20" i="22"/>
  <c r="AE49" i="22"/>
  <c r="AE6" i="22"/>
  <c r="AE29" i="22"/>
  <c r="AE22" i="22"/>
  <c r="AE32" i="22"/>
  <c r="AE39" i="22"/>
  <c r="AE64" i="22"/>
  <c r="AE46" i="22"/>
  <c r="AE65" i="22"/>
  <c r="AE56" i="22"/>
  <c r="AE7" i="22"/>
  <c r="AE50" i="22"/>
  <c r="AE8" i="22"/>
  <c r="AE57" i="22"/>
  <c r="AE23" i="22"/>
  <c r="AE9" i="22"/>
  <c r="AE10" i="22"/>
  <c r="AE11" i="22"/>
  <c r="AE66" i="22"/>
  <c r="AE12" i="22"/>
  <c r="AE36" i="22"/>
  <c r="AE51" i="22"/>
  <c r="AE24" i="22"/>
  <c r="AE13" i="22"/>
  <c r="AE60" i="22"/>
  <c r="AE74" i="22"/>
  <c r="AE30" i="22"/>
  <c r="AE58" i="22"/>
  <c r="AE25" i="22"/>
  <c r="AE26" i="22"/>
  <c r="AE67" i="22"/>
  <c r="AE71" i="22"/>
  <c r="AE33" i="22"/>
  <c r="AE68" i="22"/>
  <c r="AE52" i="22"/>
  <c r="AE75" i="22"/>
  <c r="AE31" i="22"/>
  <c r="AE47" i="22"/>
  <c r="AE53" i="22"/>
  <c r="AE14" i="22"/>
  <c r="AE15" i="22"/>
  <c r="AE41" i="22"/>
  <c r="AE40" i="22"/>
  <c r="AE59" i="22"/>
  <c r="AE61" i="22"/>
  <c r="AE79" i="22"/>
  <c r="AE48" i="22"/>
  <c r="AE54" i="22"/>
  <c r="AE62" i="22"/>
  <c r="AE16" i="22"/>
  <c r="AE17" i="22"/>
  <c r="AE80" i="22"/>
  <c r="AE27" i="22"/>
  <c r="AE18" i="22"/>
  <c r="AE42" i="22"/>
  <c r="AE70" i="22"/>
  <c r="AE69" i="22"/>
  <c r="AE28" i="22"/>
  <c r="AE55" i="22"/>
  <c r="AE72" i="22"/>
  <c r="AE34" i="22"/>
  <c r="AE73" i="22"/>
  <c r="AE19" i="22"/>
  <c r="AE77" i="22"/>
  <c r="AE76" i="22"/>
  <c r="AE43" i="22"/>
  <c r="AE44" i="22"/>
  <c r="AE37" i="22"/>
  <c r="AE82" i="22"/>
  <c r="AE81" i="22"/>
  <c r="AE45" i="22"/>
  <c r="AE21" i="22"/>
  <c r="AM4" i="22"/>
  <c r="AM78" i="22"/>
  <c r="AM63" i="22"/>
  <c r="AM35" i="22"/>
  <c r="AM38" i="22"/>
  <c r="AM5" i="22"/>
  <c r="AM20" i="22"/>
  <c r="AM49" i="22"/>
  <c r="AM6" i="22"/>
  <c r="AM29" i="22"/>
  <c r="AM22" i="22"/>
  <c r="AM32" i="22"/>
  <c r="AM39" i="22"/>
  <c r="AM64" i="22"/>
  <c r="AM46" i="22"/>
  <c r="AM65" i="22"/>
  <c r="AM56" i="22"/>
  <c r="AM7" i="22"/>
  <c r="AM50" i="22"/>
  <c r="AM8" i="22"/>
  <c r="AM57" i="22"/>
  <c r="AM23" i="22"/>
  <c r="AM9" i="22"/>
  <c r="AM10" i="22"/>
  <c r="AM11" i="22"/>
  <c r="AM66" i="22"/>
  <c r="AM12" i="22"/>
  <c r="AM36" i="22"/>
  <c r="AM51" i="22"/>
  <c r="AM24" i="22"/>
  <c r="AM13" i="22"/>
  <c r="AM60" i="22"/>
  <c r="AM74" i="22"/>
  <c r="AM30" i="22"/>
  <c r="AM58" i="22"/>
  <c r="AM25" i="22"/>
  <c r="AM26" i="22"/>
  <c r="AM67" i="22"/>
  <c r="AM71" i="22"/>
  <c r="AM33" i="22"/>
  <c r="AM68" i="22"/>
  <c r="AM52" i="22"/>
  <c r="AM75" i="22"/>
  <c r="AM31" i="22"/>
  <c r="AM47" i="22"/>
  <c r="AM53" i="22"/>
  <c r="AM14" i="22"/>
  <c r="AM15" i="22"/>
  <c r="AM41" i="22"/>
  <c r="AM40" i="22"/>
  <c r="AM59" i="22"/>
  <c r="AM61" i="22"/>
  <c r="AM79" i="22"/>
  <c r="AM48" i="22"/>
  <c r="AM54" i="22"/>
  <c r="AM62" i="22"/>
  <c r="AM16" i="22"/>
  <c r="AM17" i="22"/>
  <c r="AM80" i="22"/>
  <c r="AM27" i="22"/>
  <c r="AM18" i="22"/>
  <c r="AM42" i="22"/>
  <c r="AM70" i="22"/>
  <c r="AM69" i="22"/>
  <c r="AM28" i="22"/>
  <c r="AM55" i="22"/>
  <c r="AM72" i="22"/>
  <c r="AM34" i="22"/>
  <c r="AM73" i="22"/>
  <c r="AM19" i="22"/>
  <c r="AM77" i="22"/>
  <c r="AM76" i="22"/>
  <c r="AM43" i="22"/>
  <c r="AM44" i="22"/>
  <c r="AM37" i="22"/>
  <c r="AM82" i="22"/>
  <c r="AM81" i="22"/>
  <c r="AM45" i="22"/>
  <c r="AM21" i="22"/>
  <c r="C29" i="14" l="1"/>
  <c r="AG29" i="3"/>
  <c r="C36" i="14"/>
  <c r="AG36" i="3"/>
  <c r="C59" i="14"/>
  <c r="AG59" i="3"/>
  <c r="C23" i="14"/>
  <c r="AG23" i="3"/>
  <c r="AE62" i="3"/>
  <c r="AG62" i="3" s="1"/>
  <c r="C63" i="14"/>
  <c r="W83" i="3"/>
  <c r="I39" i="19"/>
  <c r="I78" i="19"/>
  <c r="I51" i="19"/>
  <c r="I83" i="19"/>
  <c r="I73" i="19"/>
  <c r="I72" i="19"/>
  <c r="I45" i="19"/>
  <c r="I5" i="19"/>
  <c r="I32" i="19"/>
  <c r="I41" i="19"/>
  <c r="I52" i="19"/>
  <c r="I57" i="19"/>
  <c r="I67" i="19"/>
  <c r="I36" i="19"/>
  <c r="I6" i="19"/>
  <c r="I79" i="19"/>
  <c r="I4" i="19"/>
  <c r="I44" i="19"/>
  <c r="I70" i="19"/>
  <c r="I80" i="19"/>
  <c r="I15" i="19"/>
  <c r="I35" i="19"/>
  <c r="I74" i="19"/>
  <c r="I77" i="19"/>
  <c r="I49" i="19"/>
  <c r="I9" i="19"/>
  <c r="I16" i="19"/>
  <c r="I30" i="19"/>
  <c r="I61" i="19"/>
  <c r="I63" i="19"/>
  <c r="I56" i="19"/>
  <c r="I65" i="19"/>
  <c r="I48" i="19"/>
  <c r="I14" i="19"/>
  <c r="I76" i="19"/>
  <c r="I28" i="19"/>
  <c r="I46" i="19"/>
  <c r="I71" i="19"/>
  <c r="I60" i="19"/>
  <c r="I69" i="19"/>
  <c r="I75" i="19"/>
  <c r="I59" i="19"/>
  <c r="I40" i="19"/>
  <c r="I34" i="19"/>
  <c r="I20" i="19"/>
  <c r="I19" i="19"/>
  <c r="I17" i="19"/>
  <c r="I81" i="19"/>
  <c r="I27" i="19"/>
  <c r="I7" i="19"/>
  <c r="I18" i="19"/>
  <c r="I53" i="19"/>
  <c r="I54" i="19"/>
  <c r="I12" i="19"/>
  <c r="I38" i="19"/>
  <c r="I68" i="19"/>
  <c r="I25" i="19"/>
  <c r="I23" i="19"/>
  <c r="I64" i="19"/>
  <c r="I22" i="19"/>
  <c r="I42" i="19"/>
  <c r="I66" i="19"/>
  <c r="I29" i="19"/>
  <c r="I21" i="19"/>
  <c r="I55" i="19"/>
  <c r="I24" i="19"/>
  <c r="I10" i="19"/>
  <c r="I13" i="19"/>
  <c r="I43" i="19"/>
  <c r="I11" i="19"/>
  <c r="I50" i="19"/>
  <c r="I26" i="19"/>
  <c r="I58" i="19"/>
  <c r="I8" i="19"/>
  <c r="I47" i="19"/>
  <c r="I37" i="19"/>
  <c r="I31" i="19"/>
  <c r="I33" i="19"/>
  <c r="I82" i="19"/>
  <c r="I62" i="19"/>
  <c r="I81" i="14"/>
  <c r="I43" i="14"/>
  <c r="I73" i="14"/>
  <c r="I28" i="14"/>
  <c r="I18" i="14"/>
  <c r="I16" i="14"/>
  <c r="I79" i="14"/>
  <c r="I41" i="14"/>
  <c r="I47" i="14"/>
  <c r="I68" i="14"/>
  <c r="I26" i="14"/>
  <c r="I74" i="14"/>
  <c r="I51" i="14"/>
  <c r="I11" i="14"/>
  <c r="I57" i="14"/>
  <c r="I56" i="14"/>
  <c r="I39" i="14"/>
  <c r="I6" i="14"/>
  <c r="I4" i="14"/>
  <c r="I82" i="14"/>
  <c r="I34" i="14"/>
  <c r="I27" i="14"/>
  <c r="I61" i="14"/>
  <c r="I33" i="14"/>
  <c r="I25" i="14"/>
  <c r="I36" i="14"/>
  <c r="I8" i="14"/>
  <c r="I32" i="14"/>
  <c r="I49" i="14"/>
  <c r="I35" i="14"/>
  <c r="I38" i="14"/>
  <c r="I76" i="14"/>
  <c r="I69" i="14"/>
  <c r="I62" i="14"/>
  <c r="I15" i="14"/>
  <c r="I31" i="14"/>
  <c r="I60" i="14"/>
  <c r="I10" i="14"/>
  <c r="I65" i="14"/>
  <c r="I21" i="14"/>
  <c r="I37" i="14"/>
  <c r="I77" i="14"/>
  <c r="I72" i="14"/>
  <c r="I70" i="14"/>
  <c r="I80" i="14"/>
  <c r="I54" i="14"/>
  <c r="I59" i="14"/>
  <c r="I14" i="14"/>
  <c r="I75" i="14"/>
  <c r="I71" i="14"/>
  <c r="I58" i="14"/>
  <c r="I13" i="14"/>
  <c r="I12" i="14"/>
  <c r="I9" i="14"/>
  <c r="I50" i="14"/>
  <c r="I46" i="14"/>
  <c r="I22" i="14"/>
  <c r="I20" i="14"/>
  <c r="I63" i="14"/>
  <c r="I45" i="14"/>
  <c r="I44" i="14"/>
  <c r="I19" i="14"/>
  <c r="I55" i="14"/>
  <c r="I42" i="14"/>
  <c r="I17" i="14"/>
  <c r="I48" i="14"/>
  <c r="I40" i="14"/>
  <c r="I53" i="14"/>
  <c r="I52" i="14"/>
  <c r="I67" i="14"/>
  <c r="I30" i="14"/>
  <c r="I24" i="14"/>
  <c r="I66" i="14"/>
  <c r="I23" i="14"/>
  <c r="I7" i="14"/>
  <c r="I64" i="14"/>
  <c r="I29" i="14"/>
  <c r="I5" i="14"/>
  <c r="I78" i="14"/>
  <c r="AU81" i="22"/>
  <c r="AU43" i="22"/>
  <c r="AU73" i="22"/>
  <c r="AU28" i="22"/>
  <c r="AU18" i="22"/>
  <c r="AU16" i="22"/>
  <c r="AU79" i="22"/>
  <c r="AU41" i="22"/>
  <c r="AU47" i="22"/>
  <c r="AU68" i="22"/>
  <c r="AU26" i="22"/>
  <c r="AU74" i="22"/>
  <c r="AU51" i="22"/>
  <c r="AU11" i="22"/>
  <c r="AU57" i="22"/>
  <c r="AU56" i="22"/>
  <c r="AU39" i="22"/>
  <c r="AU6" i="22"/>
  <c r="AU4" i="22"/>
  <c r="AU38" i="22"/>
  <c r="K82" i="14"/>
  <c r="K76" i="14"/>
  <c r="K34" i="14"/>
  <c r="K69" i="14"/>
  <c r="K27" i="14"/>
  <c r="K62" i="14"/>
  <c r="K61" i="14"/>
  <c r="K15" i="14"/>
  <c r="K31" i="14"/>
  <c r="K33" i="14"/>
  <c r="K25" i="14"/>
  <c r="K60" i="14"/>
  <c r="K36" i="14"/>
  <c r="K10" i="14"/>
  <c r="K8" i="14"/>
  <c r="K65" i="14"/>
  <c r="K32" i="14"/>
  <c r="K49" i="14"/>
  <c r="K35" i="14"/>
  <c r="K21" i="14"/>
  <c r="K77" i="14"/>
  <c r="K70" i="14"/>
  <c r="K54" i="14"/>
  <c r="K14" i="14"/>
  <c r="K75" i="14"/>
  <c r="K13" i="14"/>
  <c r="K9" i="14"/>
  <c r="K46" i="14"/>
  <c r="K20" i="14"/>
  <c r="K81" i="14"/>
  <c r="K43" i="14"/>
  <c r="K73" i="14"/>
  <c r="K28" i="14"/>
  <c r="K18" i="14"/>
  <c r="K16" i="14"/>
  <c r="K79" i="14"/>
  <c r="K41" i="14"/>
  <c r="K47" i="14"/>
  <c r="K68" i="14"/>
  <c r="K26" i="14"/>
  <c r="K74" i="14"/>
  <c r="K51" i="14"/>
  <c r="K11" i="14"/>
  <c r="K57" i="14"/>
  <c r="K56" i="14"/>
  <c r="K39" i="14"/>
  <c r="K6" i="14"/>
  <c r="K38" i="14"/>
  <c r="K4" i="14"/>
  <c r="AU21" i="22"/>
  <c r="AU37" i="22"/>
  <c r="AU77" i="22"/>
  <c r="AU72" i="22"/>
  <c r="AU70" i="22"/>
  <c r="AU80" i="22"/>
  <c r="AU54" i="22"/>
  <c r="AU59" i="22"/>
  <c r="AU14" i="22"/>
  <c r="AU75" i="22"/>
  <c r="AU71" i="22"/>
  <c r="AU58" i="22"/>
  <c r="AU13" i="22"/>
  <c r="AU12" i="22"/>
  <c r="AU9" i="22"/>
  <c r="AU50" i="22"/>
  <c r="AU46" i="22"/>
  <c r="AU22" i="22"/>
  <c r="AU20" i="22"/>
  <c r="AU63" i="22"/>
  <c r="K37" i="14"/>
  <c r="K72" i="14"/>
  <c r="K80" i="14"/>
  <c r="K59" i="14"/>
  <c r="K71" i="14"/>
  <c r="K58" i="14"/>
  <c r="K12" i="14"/>
  <c r="K50" i="14"/>
  <c r="K22" i="14"/>
  <c r="K63" i="14"/>
  <c r="K45" i="14"/>
  <c r="K44" i="14"/>
  <c r="K19" i="14"/>
  <c r="K55" i="14"/>
  <c r="K42" i="14"/>
  <c r="K17" i="14"/>
  <c r="K48" i="14"/>
  <c r="K40" i="14"/>
  <c r="K53" i="14"/>
  <c r="K52" i="14"/>
  <c r="K67" i="14"/>
  <c r="K30" i="14"/>
  <c r="K24" i="14"/>
  <c r="K66" i="14"/>
  <c r="K23" i="14"/>
  <c r="K7" i="14"/>
  <c r="K64" i="14"/>
  <c r="K29" i="14"/>
  <c r="K5" i="14"/>
  <c r="K78" i="14"/>
  <c r="AU82" i="22"/>
  <c r="AU76" i="22"/>
  <c r="AU34" i="22"/>
  <c r="AU69" i="22"/>
  <c r="AU27" i="22"/>
  <c r="AU62" i="22"/>
  <c r="AU61" i="22"/>
  <c r="AU15" i="22"/>
  <c r="AU31" i="22"/>
  <c r="AU33" i="22"/>
  <c r="AU25" i="22"/>
  <c r="AU60" i="22"/>
  <c r="AU36" i="22"/>
  <c r="AU10" i="22"/>
  <c r="AU8" i="22"/>
  <c r="AU65" i="22"/>
  <c r="AU32" i="22"/>
  <c r="AU49" i="22"/>
  <c r="AU35" i="22"/>
  <c r="AU45" i="22"/>
  <c r="AU44" i="22"/>
  <c r="AU19" i="22"/>
  <c r="AU55" i="22"/>
  <c r="AU42" i="22"/>
  <c r="AU17" i="22"/>
  <c r="AU48" i="22"/>
  <c r="AU40" i="22"/>
  <c r="AU53" i="22"/>
  <c r="AU52" i="22"/>
  <c r="AU67" i="22"/>
  <c r="AU30" i="22"/>
  <c r="AU24" i="22"/>
  <c r="AU66" i="22"/>
  <c r="AU23" i="22"/>
  <c r="AU7" i="22"/>
  <c r="AU64" i="22"/>
  <c r="AU29" i="22"/>
  <c r="AU5" i="22"/>
  <c r="AU78" i="22"/>
  <c r="AO8" i="22"/>
  <c r="AC28" i="22"/>
  <c r="U28" i="22"/>
  <c r="AC79" i="22"/>
  <c r="U79" i="22"/>
  <c r="U74" i="22"/>
  <c r="AC74" i="22"/>
  <c r="U57" i="22"/>
  <c r="AC57" i="22"/>
  <c r="U39" i="22"/>
  <c r="AC39" i="22"/>
  <c r="U38" i="22"/>
  <c r="AC38" i="22"/>
  <c r="AO76" i="22"/>
  <c r="AO27" i="22"/>
  <c r="AP27" i="22"/>
  <c r="AO62" i="22"/>
  <c r="AO31" i="22"/>
  <c r="AO32" i="22"/>
  <c r="Q83" i="22"/>
  <c r="G83" i="22"/>
  <c r="U76" i="22"/>
  <c r="AC76" i="22"/>
  <c r="U69" i="22"/>
  <c r="AC69" i="22"/>
  <c r="U61" i="22"/>
  <c r="AC61" i="22"/>
  <c r="AC31" i="22"/>
  <c r="U31" i="22"/>
  <c r="U25" i="22"/>
  <c r="AC25" i="22"/>
  <c r="U10" i="22"/>
  <c r="AC10" i="22"/>
  <c r="U65" i="22"/>
  <c r="AC65" i="22"/>
  <c r="U49" i="22"/>
  <c r="AC49" i="22"/>
  <c r="U35" i="22"/>
  <c r="AC35" i="22"/>
  <c r="AO21" i="22"/>
  <c r="AO72" i="22"/>
  <c r="AO54" i="22"/>
  <c r="AO14" i="22"/>
  <c r="AO75" i="22"/>
  <c r="AO58" i="22"/>
  <c r="AO9" i="22"/>
  <c r="AO22" i="22"/>
  <c r="I83" i="22"/>
  <c r="K83" i="22"/>
  <c r="AE4" i="22"/>
  <c r="AE83" i="22" s="1"/>
  <c r="AF82" i="22"/>
  <c r="AF76" i="22"/>
  <c r="AF34" i="22"/>
  <c r="AF69" i="22"/>
  <c r="AF27" i="22"/>
  <c r="AF62" i="22"/>
  <c r="AF61" i="22"/>
  <c r="AF15" i="22"/>
  <c r="AF31" i="22"/>
  <c r="AF33" i="22"/>
  <c r="AF25" i="22"/>
  <c r="AF60" i="22"/>
  <c r="AF36" i="22"/>
  <c r="AF10" i="22"/>
  <c r="AF8" i="22"/>
  <c r="AF65" i="22"/>
  <c r="AF32" i="22"/>
  <c r="AF49" i="22"/>
  <c r="AF35" i="22"/>
  <c r="P83" i="22"/>
  <c r="T83" i="22"/>
  <c r="U81" i="22"/>
  <c r="AC81" i="22"/>
  <c r="U43" i="22"/>
  <c r="AC43" i="22"/>
  <c r="U16" i="22"/>
  <c r="AC16" i="22"/>
  <c r="AC47" i="22"/>
  <c r="U47" i="22"/>
  <c r="U26" i="22"/>
  <c r="AC26" i="22"/>
  <c r="U51" i="22"/>
  <c r="AC51" i="22"/>
  <c r="AO82" i="22"/>
  <c r="AO34" i="22"/>
  <c r="AO61" i="22"/>
  <c r="AO33" i="22"/>
  <c r="AO25" i="22"/>
  <c r="AO36" i="22"/>
  <c r="AO10" i="22"/>
  <c r="U82" i="22"/>
  <c r="AC82" i="22"/>
  <c r="AC34" i="22"/>
  <c r="U34" i="22"/>
  <c r="U27" i="22"/>
  <c r="AC27" i="22"/>
  <c r="U62" i="22"/>
  <c r="AC62" i="22"/>
  <c r="AC15" i="22"/>
  <c r="U15" i="22"/>
  <c r="U33" i="22"/>
  <c r="AC33" i="22"/>
  <c r="U60" i="22"/>
  <c r="AC60" i="22"/>
  <c r="U36" i="22"/>
  <c r="AC36" i="22"/>
  <c r="AC8" i="22"/>
  <c r="U8" i="22"/>
  <c r="U32" i="22"/>
  <c r="AC32" i="22"/>
  <c r="AO37" i="22"/>
  <c r="AO77" i="22"/>
  <c r="AO70" i="22"/>
  <c r="AO80" i="22"/>
  <c r="AO59" i="22"/>
  <c r="AO71" i="22"/>
  <c r="AO13" i="22"/>
  <c r="AP12" i="22"/>
  <c r="AO12" i="22"/>
  <c r="AO50" i="22"/>
  <c r="AO46" i="22"/>
  <c r="AO20" i="22"/>
  <c r="AO63" i="22"/>
  <c r="U21" i="22"/>
  <c r="AC21" i="22"/>
  <c r="AC37" i="22"/>
  <c r="U37" i="22"/>
  <c r="U77" i="22"/>
  <c r="AC77" i="22"/>
  <c r="AC72" i="22"/>
  <c r="U72" i="22"/>
  <c r="U70" i="22"/>
  <c r="AC70" i="22"/>
  <c r="U80" i="22"/>
  <c r="AC80" i="22"/>
  <c r="U54" i="22"/>
  <c r="AC54" i="22"/>
  <c r="U59" i="22"/>
  <c r="AC59" i="22"/>
  <c r="U14" i="22"/>
  <c r="AC14" i="22"/>
  <c r="U75" i="22"/>
  <c r="AC75" i="22"/>
  <c r="U71" i="22"/>
  <c r="AC71" i="22"/>
  <c r="U58" i="22"/>
  <c r="AC58" i="22"/>
  <c r="U13" i="22"/>
  <c r="AC13" i="22"/>
  <c r="U12" i="22"/>
  <c r="AC12" i="22"/>
  <c r="AC9" i="22"/>
  <c r="U9" i="22"/>
  <c r="U50" i="22"/>
  <c r="AC50" i="22"/>
  <c r="U46" i="22"/>
  <c r="AC46" i="22"/>
  <c r="U22" i="22"/>
  <c r="AC22" i="22"/>
  <c r="U20" i="22"/>
  <c r="AC20" i="22"/>
  <c r="AC63" i="22"/>
  <c r="U63" i="22"/>
  <c r="AO45" i="22"/>
  <c r="AO44" i="22"/>
  <c r="AO19" i="22"/>
  <c r="AO55" i="22"/>
  <c r="AO42" i="22"/>
  <c r="AO17" i="22"/>
  <c r="AO48" i="22"/>
  <c r="AO40" i="22"/>
  <c r="AO53" i="22"/>
  <c r="AO52" i="22"/>
  <c r="AO67" i="22"/>
  <c r="AO30" i="22"/>
  <c r="AO24" i="22"/>
  <c r="AO66" i="22"/>
  <c r="AO23" i="22"/>
  <c r="AO7" i="22"/>
  <c r="AO64" i="22"/>
  <c r="AO29" i="22"/>
  <c r="AO5" i="22"/>
  <c r="AO78" i="22"/>
  <c r="F83" i="22"/>
  <c r="AF21" i="22"/>
  <c r="AF37" i="22"/>
  <c r="AF77" i="22"/>
  <c r="AF72" i="22"/>
  <c r="AF70" i="22"/>
  <c r="AF80" i="22"/>
  <c r="AF54" i="22"/>
  <c r="AF59" i="22"/>
  <c r="AF14" i="22"/>
  <c r="AF75" i="22"/>
  <c r="AF71" i="22"/>
  <c r="AF58" i="22"/>
  <c r="AF13" i="22"/>
  <c r="AF12" i="22"/>
  <c r="AF9" i="22"/>
  <c r="AF50" i="22"/>
  <c r="AF46" i="22"/>
  <c r="AF22" i="22"/>
  <c r="AF20" i="22"/>
  <c r="AF63" i="22"/>
  <c r="O83" i="22"/>
  <c r="S83" i="22"/>
  <c r="AC73" i="22"/>
  <c r="U73" i="22"/>
  <c r="U18" i="22"/>
  <c r="AC18" i="22"/>
  <c r="U41" i="22"/>
  <c r="AC41" i="22"/>
  <c r="U68" i="22"/>
  <c r="AC68" i="22"/>
  <c r="U11" i="22"/>
  <c r="AC11" i="22"/>
  <c r="AC56" i="22"/>
  <c r="U56" i="22"/>
  <c r="U6" i="22"/>
  <c r="AC6" i="22"/>
  <c r="AC4" i="22"/>
  <c r="C83" i="22"/>
  <c r="U4" i="22"/>
  <c r="AO69" i="22"/>
  <c r="AO15" i="22"/>
  <c r="AO60" i="22"/>
  <c r="AO65" i="22"/>
  <c r="AO49" i="22"/>
  <c r="AO35" i="22"/>
  <c r="M83" i="22"/>
  <c r="AF4" i="22"/>
  <c r="U45" i="22"/>
  <c r="AC45" i="22"/>
  <c r="AC44" i="22"/>
  <c r="U44" i="22"/>
  <c r="U19" i="22"/>
  <c r="AC19" i="22"/>
  <c r="U55" i="22"/>
  <c r="AC55" i="22"/>
  <c r="U42" i="22"/>
  <c r="AC42" i="22"/>
  <c r="U17" i="22"/>
  <c r="AC17" i="22"/>
  <c r="U48" i="22"/>
  <c r="AC48" i="22"/>
  <c r="AC40" i="22"/>
  <c r="U40" i="22"/>
  <c r="AC53" i="22"/>
  <c r="U53" i="22"/>
  <c r="U52" i="22"/>
  <c r="AC52" i="22"/>
  <c r="U67" i="22"/>
  <c r="AC67" i="22"/>
  <c r="U30" i="22"/>
  <c r="AC30" i="22"/>
  <c r="AC24" i="22"/>
  <c r="U24" i="22"/>
  <c r="AC66" i="22"/>
  <c r="U66" i="22"/>
  <c r="U23" i="22"/>
  <c r="AC23" i="22"/>
  <c r="U7" i="22"/>
  <c r="AC7" i="22"/>
  <c r="U64" i="22"/>
  <c r="AC64" i="22"/>
  <c r="U29" i="22"/>
  <c r="AC29" i="22"/>
  <c r="U5" i="22"/>
  <c r="AC5" i="22"/>
  <c r="U78" i="22"/>
  <c r="AC78" i="22"/>
  <c r="AO81" i="22"/>
  <c r="AO43" i="22"/>
  <c r="AO73" i="22"/>
  <c r="AO28" i="22"/>
  <c r="AO18" i="22"/>
  <c r="AO16" i="22"/>
  <c r="AO79" i="22"/>
  <c r="AO41" i="22"/>
  <c r="AO47" i="22"/>
  <c r="AO68" i="22"/>
  <c r="AO26" i="22"/>
  <c r="AO74" i="22"/>
  <c r="AO51" i="22"/>
  <c r="AO11" i="22"/>
  <c r="AP11" i="22"/>
  <c r="AO57" i="22"/>
  <c r="AO56" i="22"/>
  <c r="AO39" i="22"/>
  <c r="AO6" i="22"/>
  <c r="AO38" i="22"/>
  <c r="AO4" i="22"/>
  <c r="AP4" i="22"/>
  <c r="D83" i="22"/>
  <c r="AF45" i="22"/>
  <c r="AF44" i="22"/>
  <c r="AF19" i="22"/>
  <c r="AF55" i="22"/>
  <c r="AF42" i="22"/>
  <c r="AF17" i="22"/>
  <c r="AF48" i="22"/>
  <c r="AF40" i="22"/>
  <c r="AF53" i="22"/>
  <c r="AF52" i="22"/>
  <c r="AF67" i="22"/>
  <c r="AF30" i="22"/>
  <c r="AF24" i="22"/>
  <c r="AF66" i="22"/>
  <c r="AF23" i="22"/>
  <c r="AF7" i="22"/>
  <c r="AF64" i="22"/>
  <c r="AF29" i="22"/>
  <c r="AF5" i="22"/>
  <c r="AF78" i="22"/>
  <c r="N83" i="22"/>
  <c r="R83" i="22"/>
  <c r="K83" i="14" l="1"/>
  <c r="I83" i="14"/>
  <c r="J5" i="14"/>
  <c r="J67" i="14"/>
  <c r="J49" i="14"/>
  <c r="J33" i="14"/>
  <c r="J63" i="14"/>
  <c r="J58" i="14"/>
  <c r="J47" i="14"/>
  <c r="J29" i="14"/>
  <c r="J66" i="14"/>
  <c r="J44" i="14"/>
  <c r="J36" i="14"/>
  <c r="J82" i="14"/>
  <c r="J9" i="14"/>
  <c r="J54" i="14"/>
  <c r="J56" i="14"/>
  <c r="J41" i="14"/>
  <c r="J48" i="14"/>
  <c r="J10" i="14"/>
  <c r="J76" i="14"/>
  <c r="J50" i="14"/>
  <c r="J72" i="14"/>
  <c r="J39" i="14"/>
  <c r="J18" i="14"/>
  <c r="J52" i="14"/>
  <c r="J32" i="14"/>
  <c r="J31" i="14"/>
  <c r="J27" i="14"/>
  <c r="J20" i="14"/>
  <c r="J71" i="14"/>
  <c r="J77" i="14"/>
  <c r="J38" i="14"/>
  <c r="J74" i="14"/>
  <c r="J28" i="14"/>
  <c r="J64" i="14"/>
  <c r="J24" i="14"/>
  <c r="J53" i="14"/>
  <c r="J42" i="14"/>
  <c r="J45" i="14"/>
  <c r="J65" i="14"/>
  <c r="J60" i="14"/>
  <c r="J15" i="14"/>
  <c r="J69" i="14"/>
  <c r="J22" i="14"/>
  <c r="J12" i="14"/>
  <c r="J75" i="14"/>
  <c r="J80" i="14"/>
  <c r="J37" i="14"/>
  <c r="J4" i="14"/>
  <c r="J57" i="14"/>
  <c r="J26" i="14"/>
  <c r="J79" i="14"/>
  <c r="J73" i="14"/>
  <c r="J23" i="14"/>
  <c r="J19" i="14"/>
  <c r="J62" i="14"/>
  <c r="J59" i="14"/>
  <c r="J51" i="14"/>
  <c r="J81" i="14"/>
  <c r="J17" i="14"/>
  <c r="J78" i="14"/>
  <c r="J7" i="14"/>
  <c r="J30" i="14"/>
  <c r="J40" i="14"/>
  <c r="J55" i="14"/>
  <c r="J35" i="14"/>
  <c r="J8" i="14"/>
  <c r="J25" i="14"/>
  <c r="J61" i="14"/>
  <c r="J34" i="14"/>
  <c r="J46" i="14"/>
  <c r="J13" i="14"/>
  <c r="J14" i="14"/>
  <c r="J70" i="14"/>
  <c r="J21" i="14"/>
  <c r="J6" i="14"/>
  <c r="J11" i="14"/>
  <c r="J68" i="14"/>
  <c r="J16" i="14"/>
  <c r="J43" i="14"/>
  <c r="AG83" i="3"/>
  <c r="AG61" i="22"/>
  <c r="AG50" i="22"/>
  <c r="AG37" i="22"/>
  <c r="AD83" i="22"/>
  <c r="C62" i="14"/>
  <c r="C83" i="14" s="1"/>
  <c r="AE83" i="3"/>
  <c r="AE85" i="3" s="1"/>
  <c r="L103" i="3" s="1"/>
  <c r="N82" i="19"/>
  <c r="O82" i="19"/>
  <c r="P82" i="19"/>
  <c r="N50" i="19"/>
  <c r="P50" i="19"/>
  <c r="O50" i="19"/>
  <c r="O29" i="19"/>
  <c r="P29" i="19"/>
  <c r="N29" i="19"/>
  <c r="N38" i="19"/>
  <c r="P38" i="19"/>
  <c r="O38" i="19"/>
  <c r="N17" i="19"/>
  <c r="P17" i="19"/>
  <c r="O17" i="19"/>
  <c r="O60" i="19"/>
  <c r="N60" i="19"/>
  <c r="P60" i="19"/>
  <c r="P56" i="19"/>
  <c r="N56" i="19"/>
  <c r="O56" i="19"/>
  <c r="N74" i="19"/>
  <c r="O74" i="19"/>
  <c r="P74" i="19"/>
  <c r="P45" i="19"/>
  <c r="O45" i="19"/>
  <c r="N45" i="19"/>
  <c r="N62" i="19"/>
  <c r="P62" i="19"/>
  <c r="O62" i="19"/>
  <c r="O37" i="19"/>
  <c r="P37" i="19"/>
  <c r="N37" i="19"/>
  <c r="N26" i="19"/>
  <c r="O26" i="19"/>
  <c r="P26" i="19"/>
  <c r="P13" i="19"/>
  <c r="O13" i="19"/>
  <c r="N13" i="19"/>
  <c r="P21" i="19"/>
  <c r="O21" i="19"/>
  <c r="N21" i="19"/>
  <c r="P22" i="19"/>
  <c r="N22" i="19"/>
  <c r="O22" i="19"/>
  <c r="P68" i="19"/>
  <c r="O68" i="19"/>
  <c r="N68" i="19"/>
  <c r="O53" i="19"/>
  <c r="P53" i="19"/>
  <c r="N53" i="19"/>
  <c r="P81" i="19"/>
  <c r="O81" i="19"/>
  <c r="N81" i="19"/>
  <c r="O34" i="19"/>
  <c r="N34" i="19"/>
  <c r="P34" i="19"/>
  <c r="N69" i="19"/>
  <c r="O69" i="19"/>
  <c r="P69" i="19"/>
  <c r="P28" i="19"/>
  <c r="N28" i="19"/>
  <c r="O28" i="19"/>
  <c r="N65" i="19"/>
  <c r="P65" i="19"/>
  <c r="O65" i="19"/>
  <c r="O30" i="19"/>
  <c r="N30" i="19"/>
  <c r="P30" i="19"/>
  <c r="P77" i="19"/>
  <c r="N77" i="19"/>
  <c r="O77" i="19"/>
  <c r="P80" i="19"/>
  <c r="O80" i="19"/>
  <c r="N80" i="19"/>
  <c r="P79" i="19"/>
  <c r="O79" i="19"/>
  <c r="N79" i="19"/>
  <c r="N57" i="19"/>
  <c r="O57" i="19"/>
  <c r="P57" i="19"/>
  <c r="N5" i="19"/>
  <c r="P5" i="19"/>
  <c r="O5" i="19"/>
  <c r="N47" i="19"/>
  <c r="P47" i="19"/>
  <c r="O47" i="19"/>
  <c r="P10" i="19"/>
  <c r="N10" i="19"/>
  <c r="O10" i="19"/>
  <c r="N64" i="19"/>
  <c r="O64" i="19"/>
  <c r="P64" i="19"/>
  <c r="N18" i="19"/>
  <c r="P18" i="19"/>
  <c r="O18" i="19"/>
  <c r="P40" i="19"/>
  <c r="O40" i="19"/>
  <c r="N40" i="19"/>
  <c r="N76" i="19"/>
  <c r="P76" i="19"/>
  <c r="O76" i="19"/>
  <c r="P16" i="19"/>
  <c r="N16" i="19"/>
  <c r="O16" i="19"/>
  <c r="P70" i="19"/>
  <c r="N70" i="19"/>
  <c r="O70" i="19"/>
  <c r="P6" i="19"/>
  <c r="N6" i="19"/>
  <c r="O6" i="19"/>
  <c r="O52" i="19"/>
  <c r="N52" i="19"/>
  <c r="P52" i="19"/>
  <c r="N51" i="19"/>
  <c r="P51" i="19"/>
  <c r="O51" i="19"/>
  <c r="P33" i="19"/>
  <c r="O33" i="19"/>
  <c r="N33" i="19"/>
  <c r="N8" i="19"/>
  <c r="O8" i="19"/>
  <c r="P8" i="19"/>
  <c r="P11" i="19"/>
  <c r="O11" i="19"/>
  <c r="N11" i="19"/>
  <c r="N24" i="19"/>
  <c r="O24" i="19"/>
  <c r="P24" i="19"/>
  <c r="O66" i="19"/>
  <c r="P66" i="19"/>
  <c r="N66" i="19"/>
  <c r="P23" i="19"/>
  <c r="O23" i="19"/>
  <c r="N23" i="19"/>
  <c r="P12" i="19"/>
  <c r="N12" i="19"/>
  <c r="O12" i="19"/>
  <c r="N7" i="19"/>
  <c r="O7" i="19"/>
  <c r="P7" i="19"/>
  <c r="O19" i="19"/>
  <c r="N19" i="19"/>
  <c r="P19" i="19"/>
  <c r="O59" i="19"/>
  <c r="P59" i="19"/>
  <c r="N59" i="19"/>
  <c r="P71" i="19"/>
  <c r="N71" i="19"/>
  <c r="O71" i="19"/>
  <c r="P14" i="19"/>
  <c r="N14" i="19"/>
  <c r="O14" i="19"/>
  <c r="O63" i="19"/>
  <c r="P63" i="19"/>
  <c r="N63" i="19"/>
  <c r="N9" i="19"/>
  <c r="O9" i="19"/>
  <c r="P9" i="19"/>
  <c r="P35" i="19"/>
  <c r="N35" i="19"/>
  <c r="O35" i="19"/>
  <c r="O44" i="19"/>
  <c r="N44" i="19"/>
  <c r="P44" i="19"/>
  <c r="O36" i="19"/>
  <c r="N36" i="19"/>
  <c r="P36" i="19"/>
  <c r="O41" i="19"/>
  <c r="N41" i="19"/>
  <c r="P41" i="19"/>
  <c r="N72" i="19"/>
  <c r="P72" i="19"/>
  <c r="O72" i="19"/>
  <c r="O78" i="19"/>
  <c r="N78" i="19"/>
  <c r="P78" i="19"/>
  <c r="O31" i="19"/>
  <c r="N31" i="19"/>
  <c r="P31" i="19"/>
  <c r="N58" i="19"/>
  <c r="O58" i="19"/>
  <c r="P58" i="19"/>
  <c r="P43" i="19"/>
  <c r="O43" i="19"/>
  <c r="N43" i="19"/>
  <c r="O55" i="19"/>
  <c r="N55" i="19"/>
  <c r="P55" i="19"/>
  <c r="N42" i="19"/>
  <c r="O42" i="19"/>
  <c r="P42" i="19"/>
  <c r="P25" i="19"/>
  <c r="N25" i="19"/>
  <c r="O25" i="19"/>
  <c r="O54" i="19"/>
  <c r="N54" i="19"/>
  <c r="P54" i="19"/>
  <c r="N27" i="19"/>
  <c r="O27" i="19"/>
  <c r="P27" i="19"/>
  <c r="O20" i="19"/>
  <c r="N20" i="19"/>
  <c r="P20" i="19"/>
  <c r="N75" i="19"/>
  <c r="O75" i="19"/>
  <c r="P75" i="19"/>
  <c r="O46" i="19"/>
  <c r="N46" i="19"/>
  <c r="P46" i="19"/>
  <c r="N48" i="19"/>
  <c r="O48" i="19"/>
  <c r="P48" i="19"/>
  <c r="P61" i="19"/>
  <c r="N61" i="19"/>
  <c r="O61" i="19"/>
  <c r="P49" i="19"/>
  <c r="N49" i="19"/>
  <c r="O49" i="19"/>
  <c r="P15" i="19"/>
  <c r="O15" i="19"/>
  <c r="N15" i="19"/>
  <c r="N4" i="19"/>
  <c r="P4" i="19"/>
  <c r="O4" i="19"/>
  <c r="N67" i="19"/>
  <c r="P67" i="19"/>
  <c r="O67" i="19"/>
  <c r="O32" i="19"/>
  <c r="P32" i="19"/>
  <c r="N32" i="19"/>
  <c r="P73" i="19"/>
  <c r="O73" i="19"/>
  <c r="N73" i="19"/>
  <c r="N39" i="19"/>
  <c r="P39" i="19"/>
  <c r="O39" i="19"/>
  <c r="AQ6" i="22"/>
  <c r="AQ56" i="22"/>
  <c r="AQ9" i="22"/>
  <c r="AQ75" i="22"/>
  <c r="AA75" i="22" s="1"/>
  <c r="AH75" i="22" s="1"/>
  <c r="AQ54" i="22"/>
  <c r="AQ63" i="22"/>
  <c r="AQ76" i="22"/>
  <c r="AA76" i="22" s="1"/>
  <c r="AH76" i="22" s="1"/>
  <c r="AQ38" i="22"/>
  <c r="AQ39" i="22"/>
  <c r="AQ57" i="22"/>
  <c r="AQ20" i="22"/>
  <c r="AQ50" i="22"/>
  <c r="AQ22" i="22"/>
  <c r="AQ58" i="22"/>
  <c r="AQ14" i="22"/>
  <c r="AQ72" i="22"/>
  <c r="AA72" i="22" s="1"/>
  <c r="AH72" i="22" s="1"/>
  <c r="AQ30" i="22"/>
  <c r="AQ52" i="22"/>
  <c r="AQ40" i="22"/>
  <c r="AQ17" i="22"/>
  <c r="AQ46" i="22"/>
  <c r="AQ21" i="22"/>
  <c r="AQ67" i="22"/>
  <c r="AQ53" i="22"/>
  <c r="AQ48" i="22"/>
  <c r="AQ4" i="22"/>
  <c r="F4" i="14" s="1"/>
  <c r="AQ51" i="22"/>
  <c r="AQ26" i="22"/>
  <c r="AQ47" i="22"/>
  <c r="AQ79" i="22"/>
  <c r="AA79" i="22" s="1"/>
  <c r="AH79" i="22" s="1"/>
  <c r="AQ18" i="22"/>
  <c r="AQ73" i="22"/>
  <c r="AA73" i="22" s="1"/>
  <c r="AH73" i="22" s="1"/>
  <c r="AQ81" i="22"/>
  <c r="AA81" i="22" s="1"/>
  <c r="AH81" i="22" s="1"/>
  <c r="AQ35" i="22"/>
  <c r="AQ65" i="22"/>
  <c r="AQ15" i="22"/>
  <c r="AQ78" i="22"/>
  <c r="AA78" i="22" s="1"/>
  <c r="AH78" i="22" s="1"/>
  <c r="AQ29" i="22"/>
  <c r="AQ7" i="22"/>
  <c r="AQ66" i="22"/>
  <c r="AQ42" i="22"/>
  <c r="AQ19" i="22"/>
  <c r="AQ45" i="22"/>
  <c r="AQ12" i="22"/>
  <c r="AQ71" i="22"/>
  <c r="AA71" i="22" s="1"/>
  <c r="AH71" i="22" s="1"/>
  <c r="AQ80" i="22"/>
  <c r="AA80" i="22" s="1"/>
  <c r="AH80" i="22" s="1"/>
  <c r="AQ77" i="22"/>
  <c r="AA77" i="22" s="1"/>
  <c r="AH77" i="22" s="1"/>
  <c r="AQ10" i="22"/>
  <c r="AQ25" i="22"/>
  <c r="AQ61" i="22"/>
  <c r="AQ82" i="22"/>
  <c r="AA82" i="22" s="1"/>
  <c r="AH82" i="22" s="1"/>
  <c r="AQ31" i="22"/>
  <c r="AQ11" i="22"/>
  <c r="AQ27" i="22"/>
  <c r="AQ8" i="22"/>
  <c r="AQ74" i="22"/>
  <c r="AA74" i="22" s="1"/>
  <c r="AH74" i="22" s="1"/>
  <c r="AQ68" i="22"/>
  <c r="AQ41" i="22"/>
  <c r="AQ16" i="22"/>
  <c r="AQ28" i="22"/>
  <c r="AQ43" i="22"/>
  <c r="AQ49" i="22"/>
  <c r="AQ60" i="22"/>
  <c r="AQ69" i="22"/>
  <c r="AA69" i="22" s="1"/>
  <c r="AH69" i="22" s="1"/>
  <c r="AQ5" i="22"/>
  <c r="AQ64" i="22"/>
  <c r="AQ23" i="22"/>
  <c r="AQ24" i="22"/>
  <c r="AQ55" i="22"/>
  <c r="AQ44" i="22"/>
  <c r="AQ13" i="22"/>
  <c r="AQ59" i="22"/>
  <c r="AQ70" i="22"/>
  <c r="AA70" i="22" s="1"/>
  <c r="AH70" i="22" s="1"/>
  <c r="AQ37" i="22"/>
  <c r="AQ36" i="22"/>
  <c r="AQ33" i="22"/>
  <c r="AQ34" i="22"/>
  <c r="AQ32" i="22"/>
  <c r="AQ62" i="22"/>
  <c r="AP83" i="22"/>
  <c r="AR67" i="22"/>
  <c r="AS67" i="22"/>
  <c r="H67" i="14" s="1"/>
  <c r="AR55" i="22"/>
  <c r="AS55" i="22"/>
  <c r="H55" i="14" s="1"/>
  <c r="AS45" i="22"/>
  <c r="H45" i="14" s="1"/>
  <c r="AR45" i="22"/>
  <c r="AR64" i="22"/>
  <c r="AS64" i="22"/>
  <c r="H64" i="14" s="1"/>
  <c r="AS52" i="22"/>
  <c r="H52" i="14" s="1"/>
  <c r="AR52" i="22"/>
  <c r="AS42" i="22"/>
  <c r="H42" i="14" s="1"/>
  <c r="AR42" i="22"/>
  <c r="AR19" i="22"/>
  <c r="AS19" i="22"/>
  <c r="H19" i="14" s="1"/>
  <c r="AS73" i="22"/>
  <c r="H73" i="14" s="1"/>
  <c r="AR73" i="22"/>
  <c r="AS20" i="22"/>
  <c r="H20" i="14" s="1"/>
  <c r="AR20" i="22"/>
  <c r="AS22" i="22"/>
  <c r="H22" i="14" s="1"/>
  <c r="AR22" i="22"/>
  <c r="AR58" i="22"/>
  <c r="AS58" i="22"/>
  <c r="H58" i="14" s="1"/>
  <c r="AR71" i="22"/>
  <c r="AS71" i="22"/>
  <c r="H71" i="14" s="1"/>
  <c r="AS54" i="22"/>
  <c r="H54" i="14" s="1"/>
  <c r="AR54" i="22"/>
  <c r="AR80" i="22"/>
  <c r="AS80" i="22"/>
  <c r="H80" i="14" s="1"/>
  <c r="AR70" i="22"/>
  <c r="AS70" i="22"/>
  <c r="H70" i="14" s="1"/>
  <c r="AS21" i="22"/>
  <c r="H21" i="14" s="1"/>
  <c r="AR21" i="22"/>
  <c r="AR32" i="22"/>
  <c r="AS32" i="22"/>
  <c r="H32" i="14" s="1"/>
  <c r="AR36" i="22"/>
  <c r="AS36" i="22"/>
  <c r="H36" i="14" s="1"/>
  <c r="AS33" i="22"/>
  <c r="H33" i="14" s="1"/>
  <c r="AR33" i="22"/>
  <c r="AR31" i="22"/>
  <c r="AS31" i="22"/>
  <c r="H31" i="14" s="1"/>
  <c r="AO83" i="22"/>
  <c r="AS66" i="22"/>
  <c r="H66" i="14" s="1"/>
  <c r="AR66" i="22"/>
  <c r="AS53" i="22"/>
  <c r="H53" i="14" s="1"/>
  <c r="AR53" i="22"/>
  <c r="AR44" i="22"/>
  <c r="AS44" i="22"/>
  <c r="H44" i="14" s="1"/>
  <c r="AF83" i="22"/>
  <c r="AR56" i="22"/>
  <c r="AS56" i="22"/>
  <c r="H56" i="14" s="1"/>
  <c r="AS18" i="22"/>
  <c r="H18" i="14" s="1"/>
  <c r="AR18" i="22"/>
  <c r="AR63" i="22"/>
  <c r="AS63" i="22"/>
  <c r="H63" i="14" s="1"/>
  <c r="AS37" i="22"/>
  <c r="H37" i="14" s="1"/>
  <c r="AR37" i="22"/>
  <c r="AR15" i="22"/>
  <c r="AS15" i="22"/>
  <c r="H15" i="14" s="1"/>
  <c r="AS34" i="22"/>
  <c r="H34" i="14" s="1"/>
  <c r="AR34" i="22"/>
  <c r="AR43" i="22"/>
  <c r="AS43" i="22"/>
  <c r="H43" i="14" s="1"/>
  <c r="AR76" i="22"/>
  <c r="AS76" i="22"/>
  <c r="H76" i="14" s="1"/>
  <c r="AN83" i="22"/>
  <c r="AR38" i="22"/>
  <c r="AS38" i="22"/>
  <c r="H38" i="14" s="1"/>
  <c r="AR39" i="22"/>
  <c r="AS39" i="22"/>
  <c r="H39" i="14" s="1"/>
  <c r="AR57" i="22"/>
  <c r="AS57" i="22"/>
  <c r="H57" i="14" s="1"/>
  <c r="AS74" i="22"/>
  <c r="H74" i="14" s="1"/>
  <c r="AR74" i="22"/>
  <c r="AR24" i="22"/>
  <c r="AS24" i="22"/>
  <c r="H24" i="14" s="1"/>
  <c r="AR40" i="22"/>
  <c r="AS40" i="22"/>
  <c r="H40" i="14" s="1"/>
  <c r="AS17" i="22"/>
  <c r="H17" i="14" s="1"/>
  <c r="AR17" i="22"/>
  <c r="AC83" i="22"/>
  <c r="AR11" i="22"/>
  <c r="AS11" i="22"/>
  <c r="H11" i="14" s="1"/>
  <c r="AM83" i="22"/>
  <c r="AS50" i="22"/>
  <c r="H50" i="14" s="1"/>
  <c r="AR50" i="22"/>
  <c r="AS9" i="22"/>
  <c r="H9" i="14" s="1"/>
  <c r="AR9" i="22"/>
  <c r="AR12" i="22"/>
  <c r="AS12" i="22"/>
  <c r="H12" i="14" s="1"/>
  <c r="AS13" i="22"/>
  <c r="H13" i="14" s="1"/>
  <c r="AR13" i="22"/>
  <c r="AR72" i="22"/>
  <c r="AS72" i="22"/>
  <c r="H72" i="14" s="1"/>
  <c r="AR8" i="22"/>
  <c r="AS8" i="22"/>
  <c r="H8" i="14" s="1"/>
  <c r="AR60" i="22"/>
  <c r="AS60" i="22"/>
  <c r="H60" i="14" s="1"/>
  <c r="AS82" i="22"/>
  <c r="H82" i="14" s="1"/>
  <c r="AR82" i="22"/>
  <c r="AR51" i="22"/>
  <c r="AS51" i="22"/>
  <c r="H51" i="14" s="1"/>
  <c r="AR26" i="22"/>
  <c r="AS26" i="22"/>
  <c r="H26" i="14" s="1"/>
  <c r="AR16" i="22"/>
  <c r="AS16" i="22"/>
  <c r="H16" i="14" s="1"/>
  <c r="AS81" i="22"/>
  <c r="H81" i="14" s="1"/>
  <c r="AR81" i="22"/>
  <c r="AS49" i="22"/>
  <c r="H49" i="14" s="1"/>
  <c r="AR49" i="22"/>
  <c r="AS61" i="22"/>
  <c r="H61" i="14" s="1"/>
  <c r="AR61" i="22"/>
  <c r="AR79" i="22"/>
  <c r="AS79" i="22"/>
  <c r="H79" i="14" s="1"/>
  <c r="AR28" i="22"/>
  <c r="AS28" i="22"/>
  <c r="H28" i="14" s="1"/>
  <c r="AR5" i="22"/>
  <c r="AS5" i="22"/>
  <c r="H5" i="14" s="1"/>
  <c r="AR7" i="22"/>
  <c r="AS7" i="22"/>
  <c r="H7" i="14" s="1"/>
  <c r="AR23" i="22"/>
  <c r="AS23" i="22"/>
  <c r="H23" i="14" s="1"/>
  <c r="AR48" i="22"/>
  <c r="AS48" i="22"/>
  <c r="H48" i="14" s="1"/>
  <c r="AL83" i="22"/>
  <c r="AS78" i="22"/>
  <c r="H78" i="14" s="1"/>
  <c r="AR78" i="22"/>
  <c r="AS29" i="22"/>
  <c r="H29" i="14" s="1"/>
  <c r="AR29" i="22"/>
  <c r="AS30" i="22"/>
  <c r="H30" i="14" s="1"/>
  <c r="AR30" i="22"/>
  <c r="U83" i="22"/>
  <c r="AS4" i="22"/>
  <c r="H4" i="14" s="1"/>
  <c r="AR4" i="22"/>
  <c r="AU83" i="22"/>
  <c r="AR6" i="22"/>
  <c r="AS6" i="22"/>
  <c r="H6" i="14" s="1"/>
  <c r="AR68" i="22"/>
  <c r="AS68" i="22"/>
  <c r="H68" i="14" s="1"/>
  <c r="AS41" i="22"/>
  <c r="H41" i="14" s="1"/>
  <c r="AR41" i="22"/>
  <c r="AS46" i="22"/>
  <c r="H46" i="14" s="1"/>
  <c r="AR46" i="22"/>
  <c r="AR75" i="22"/>
  <c r="AS75" i="22"/>
  <c r="H75" i="14" s="1"/>
  <c r="AS14" i="22"/>
  <c r="H14" i="14" s="1"/>
  <c r="AR14" i="22"/>
  <c r="AR59" i="22"/>
  <c r="AS59" i="22"/>
  <c r="H59" i="14" s="1"/>
  <c r="AS77" i="22"/>
  <c r="H77" i="14" s="1"/>
  <c r="AR77" i="22"/>
  <c r="AS62" i="22"/>
  <c r="H62" i="14" s="1"/>
  <c r="AR62" i="22"/>
  <c r="AR27" i="22"/>
  <c r="AS27" i="22"/>
  <c r="H27" i="14" s="1"/>
  <c r="AR47" i="22"/>
  <c r="AS47" i="22"/>
  <c r="H47" i="14" s="1"/>
  <c r="AR35" i="22"/>
  <c r="AS35" i="22"/>
  <c r="H35" i="14" s="1"/>
  <c r="AS65" i="22"/>
  <c r="H65" i="14" s="1"/>
  <c r="AR65" i="22"/>
  <c r="AS10" i="22"/>
  <c r="H10" i="14" s="1"/>
  <c r="AR10" i="22"/>
  <c r="AS25" i="22"/>
  <c r="H25" i="14" s="1"/>
  <c r="AR25" i="22"/>
  <c r="AR69" i="22"/>
  <c r="AS69" i="22"/>
  <c r="H69" i="14" s="1"/>
  <c r="J83" i="14" l="1"/>
  <c r="H83" i="14"/>
  <c r="F62" i="14"/>
  <c r="AA62" i="22"/>
  <c r="AH62" i="22" s="1"/>
  <c r="F36" i="14"/>
  <c r="AA36" i="22"/>
  <c r="AH36" i="22" s="1"/>
  <c r="F13" i="14"/>
  <c r="AA13" i="22"/>
  <c r="AH13" i="22" s="1"/>
  <c r="F23" i="14"/>
  <c r="AA23" i="22"/>
  <c r="AH23" i="22" s="1"/>
  <c r="F60" i="14"/>
  <c r="AA60" i="22"/>
  <c r="AH60" i="22" s="1"/>
  <c r="F16" i="14"/>
  <c r="AA16" i="22"/>
  <c r="AH16" i="22" s="1"/>
  <c r="F8" i="14"/>
  <c r="AA8" i="22"/>
  <c r="AH8" i="22" s="1"/>
  <c r="F45" i="14"/>
  <c r="AA45" i="22"/>
  <c r="AH45" i="22" s="1"/>
  <c r="F7" i="14"/>
  <c r="AA7" i="22"/>
  <c r="AH7" i="22" s="1"/>
  <c r="F65" i="14"/>
  <c r="AA65" i="22"/>
  <c r="AH65" i="22" s="1"/>
  <c r="F18" i="14"/>
  <c r="AA18" i="22"/>
  <c r="AH18" i="22" s="1"/>
  <c r="F51" i="14"/>
  <c r="AA51" i="22"/>
  <c r="AH51" i="22" s="1"/>
  <c r="F67" i="14"/>
  <c r="AA67" i="22"/>
  <c r="AH67" i="22" s="1"/>
  <c r="F40" i="14"/>
  <c r="AA40" i="22"/>
  <c r="AH40" i="22" s="1"/>
  <c r="F22" i="14"/>
  <c r="AA22" i="22"/>
  <c r="AH22" i="22" s="1"/>
  <c r="F39" i="14"/>
  <c r="AA39" i="22"/>
  <c r="AH39" i="22" s="1"/>
  <c r="F63" i="14"/>
  <c r="AA63" i="22"/>
  <c r="AH63" i="22" s="1"/>
  <c r="F56" i="14"/>
  <c r="AA56" i="22"/>
  <c r="AH56" i="22" s="1"/>
  <c r="F32" i="14"/>
  <c r="AA32" i="22"/>
  <c r="AH32" i="22" s="1"/>
  <c r="F37" i="14"/>
  <c r="AA37" i="22"/>
  <c r="AH37" i="22" s="1"/>
  <c r="F44" i="14"/>
  <c r="AA44" i="22"/>
  <c r="AH44" i="22" s="1"/>
  <c r="F64" i="14"/>
  <c r="AA64" i="22"/>
  <c r="AH64" i="22" s="1"/>
  <c r="F49" i="14"/>
  <c r="AA49" i="22"/>
  <c r="AH49" i="22" s="1"/>
  <c r="F41" i="14"/>
  <c r="AA41" i="22"/>
  <c r="AH41" i="22" s="1"/>
  <c r="F27" i="14"/>
  <c r="AA27" i="22"/>
  <c r="AH27" i="22" s="1"/>
  <c r="F61" i="14"/>
  <c r="AA61" i="22"/>
  <c r="AH61" i="22" s="1"/>
  <c r="F19" i="14"/>
  <c r="AA19" i="22"/>
  <c r="AH19" i="22" s="1"/>
  <c r="F29" i="14"/>
  <c r="AA29" i="22"/>
  <c r="AH29" i="22" s="1"/>
  <c r="F35" i="14"/>
  <c r="AA35" i="22"/>
  <c r="AH35" i="22" s="1"/>
  <c r="F21" i="14"/>
  <c r="AA21" i="22"/>
  <c r="AH21" i="22" s="1"/>
  <c r="F52" i="14"/>
  <c r="AA52" i="22"/>
  <c r="AH52" i="22" s="1"/>
  <c r="F50" i="14"/>
  <c r="AA50" i="22"/>
  <c r="AH50" i="22" s="1"/>
  <c r="F38" i="14"/>
  <c r="AA38" i="22"/>
  <c r="AH38" i="22" s="1"/>
  <c r="F54" i="14"/>
  <c r="AA54" i="22"/>
  <c r="AH54" i="22" s="1"/>
  <c r="F6" i="14"/>
  <c r="AA6" i="22"/>
  <c r="AH6" i="22" s="1"/>
  <c r="F34" i="14"/>
  <c r="AA34" i="22"/>
  <c r="AH34" i="22" s="1"/>
  <c r="F55" i="14"/>
  <c r="AA55" i="22"/>
  <c r="AH55" i="22" s="1"/>
  <c r="F5" i="14"/>
  <c r="AA5" i="22"/>
  <c r="AH5" i="22" s="1"/>
  <c r="F43" i="14"/>
  <c r="AA43" i="22"/>
  <c r="AH43" i="22" s="1"/>
  <c r="F68" i="14"/>
  <c r="AA68" i="22"/>
  <c r="AH68" i="22" s="1"/>
  <c r="F11" i="14"/>
  <c r="AA11" i="22"/>
  <c r="AH11" i="22" s="1"/>
  <c r="F25" i="14"/>
  <c r="AA25" i="22"/>
  <c r="AH25" i="22" s="1"/>
  <c r="F42" i="14"/>
  <c r="AA42" i="22"/>
  <c r="AH42" i="22" s="1"/>
  <c r="F47" i="14"/>
  <c r="AA47" i="22"/>
  <c r="AH47" i="22" s="1"/>
  <c r="F48" i="14"/>
  <c r="AA48" i="22"/>
  <c r="AH48" i="22" s="1"/>
  <c r="F46" i="14"/>
  <c r="AA46" i="22"/>
  <c r="AH46" i="22" s="1"/>
  <c r="F30" i="14"/>
  <c r="AA30" i="22"/>
  <c r="AH30" i="22" s="1"/>
  <c r="F14" i="14"/>
  <c r="AA14" i="22"/>
  <c r="AH14" i="22" s="1"/>
  <c r="F20" i="14"/>
  <c r="AA20" i="22"/>
  <c r="AH20" i="22" s="1"/>
  <c r="F33" i="14"/>
  <c r="AA33" i="22"/>
  <c r="AH33" i="22" s="1"/>
  <c r="F59" i="14"/>
  <c r="AA59" i="22"/>
  <c r="AH59" i="22" s="1"/>
  <c r="F24" i="14"/>
  <c r="AA24" i="22"/>
  <c r="AH24" i="22" s="1"/>
  <c r="F28" i="14"/>
  <c r="AA28" i="22"/>
  <c r="AH28" i="22" s="1"/>
  <c r="F31" i="14"/>
  <c r="AA31" i="22"/>
  <c r="AH31" i="22" s="1"/>
  <c r="F10" i="14"/>
  <c r="AA10" i="22"/>
  <c r="AH10" i="22" s="1"/>
  <c r="F12" i="14"/>
  <c r="AA12" i="22"/>
  <c r="AH12" i="22" s="1"/>
  <c r="F66" i="14"/>
  <c r="AA66" i="22"/>
  <c r="AH66" i="22" s="1"/>
  <c r="F15" i="14"/>
  <c r="AA15" i="22"/>
  <c r="AH15" i="22" s="1"/>
  <c r="F26" i="14"/>
  <c r="AA26" i="22"/>
  <c r="AH26" i="22" s="1"/>
  <c r="F53" i="14"/>
  <c r="AA53" i="22"/>
  <c r="AH53" i="22" s="1"/>
  <c r="F17" i="14"/>
  <c r="AA17" i="22"/>
  <c r="AH17" i="22" s="1"/>
  <c r="F58" i="14"/>
  <c r="AA58" i="22"/>
  <c r="AH58" i="22" s="1"/>
  <c r="F57" i="14"/>
  <c r="AA57" i="22"/>
  <c r="AH57" i="22" s="1"/>
  <c r="F9" i="14"/>
  <c r="AA9" i="22"/>
  <c r="AH9" i="22" s="1"/>
  <c r="AA4" i="22"/>
  <c r="AH4" i="22" s="1"/>
  <c r="F82" i="14"/>
  <c r="F77" i="14"/>
  <c r="F80" i="14"/>
  <c r="F79" i="14"/>
  <c r="F72" i="14"/>
  <c r="F70" i="14"/>
  <c r="F71" i="14"/>
  <c r="F78" i="14"/>
  <c r="F81" i="14"/>
  <c r="F75" i="14"/>
  <c r="F69" i="14"/>
  <c r="F74" i="14"/>
  <c r="F73" i="14"/>
  <c r="F76" i="14"/>
  <c r="G10" i="14"/>
  <c r="G14" i="14"/>
  <c r="G78" i="14"/>
  <c r="G7" i="14"/>
  <c r="G26" i="14"/>
  <c r="G8" i="14"/>
  <c r="G57" i="14"/>
  <c r="G44" i="14"/>
  <c r="G52" i="14"/>
  <c r="G45" i="14"/>
  <c r="G69" i="14"/>
  <c r="G68" i="14"/>
  <c r="G50" i="14"/>
  <c r="G15" i="14"/>
  <c r="G56" i="14"/>
  <c r="G53" i="14"/>
  <c r="G32" i="14"/>
  <c r="G70" i="14"/>
  <c r="G19" i="14"/>
  <c r="G25" i="14"/>
  <c r="G65" i="14"/>
  <c r="G62" i="14"/>
  <c r="G41" i="14"/>
  <c r="G29" i="14"/>
  <c r="G23" i="14"/>
  <c r="G5" i="14"/>
  <c r="G79" i="14"/>
  <c r="G16" i="14"/>
  <c r="G51" i="14"/>
  <c r="G60" i="14"/>
  <c r="G72" i="14"/>
  <c r="G12" i="14"/>
  <c r="G40" i="14"/>
  <c r="G39" i="14"/>
  <c r="G34" i="14"/>
  <c r="G37" i="14"/>
  <c r="G18" i="14"/>
  <c r="G21" i="14"/>
  <c r="G22" i="14"/>
  <c r="G73" i="14"/>
  <c r="G42" i="14"/>
  <c r="G77" i="14"/>
  <c r="G46" i="14"/>
  <c r="G30" i="14"/>
  <c r="G48" i="14"/>
  <c r="G28" i="14"/>
  <c r="G24" i="14"/>
  <c r="G38" i="14"/>
  <c r="G33" i="14"/>
  <c r="G54" i="14"/>
  <c r="G20" i="14"/>
  <c r="G35" i="14"/>
  <c r="G27" i="14"/>
  <c r="G4" i="14"/>
  <c r="G49" i="14"/>
  <c r="G11" i="14"/>
  <c r="G74" i="14"/>
  <c r="G43" i="14"/>
  <c r="G63" i="14"/>
  <c r="G58" i="14"/>
  <c r="G67" i="14"/>
  <c r="G47" i="14"/>
  <c r="G59" i="14"/>
  <c r="G75" i="14"/>
  <c r="G6" i="14"/>
  <c r="G61" i="14"/>
  <c r="G81" i="14"/>
  <c r="G82" i="14"/>
  <c r="G13" i="14"/>
  <c r="G9" i="14"/>
  <c r="G17" i="14"/>
  <c r="G76" i="14"/>
  <c r="G66" i="14"/>
  <c r="G31" i="14"/>
  <c r="G36" i="14"/>
  <c r="G80" i="14"/>
  <c r="G71" i="14"/>
  <c r="G64" i="14"/>
  <c r="G55" i="14"/>
  <c r="C101" i="22"/>
  <c r="C102" i="22"/>
  <c r="Q11" i="19"/>
  <c r="Q21" i="19"/>
  <c r="Q27" i="19"/>
  <c r="Q54" i="19"/>
  <c r="Q23" i="19"/>
  <c r="Q33" i="19"/>
  <c r="Q6" i="19"/>
  <c r="Q10" i="19"/>
  <c r="Q80" i="19"/>
  <c r="Q56" i="19"/>
  <c r="Q38" i="19"/>
  <c r="C84" i="14"/>
  <c r="Q61" i="19"/>
  <c r="Q75" i="19"/>
  <c r="Q20" i="19"/>
  <c r="Q55" i="19"/>
  <c r="Q43" i="19"/>
  <c r="Q58" i="19"/>
  <c r="Q72" i="19"/>
  <c r="Q79" i="19"/>
  <c r="Q77" i="19"/>
  <c r="Q34" i="19"/>
  <c r="Q81" i="19"/>
  <c r="Q22" i="19"/>
  <c r="Q37" i="19"/>
  <c r="Q62" i="19"/>
  <c r="Q14" i="19"/>
  <c r="Q73" i="19"/>
  <c r="Q67" i="19"/>
  <c r="P83" i="19"/>
  <c r="Q25" i="19"/>
  <c r="Q41" i="19"/>
  <c r="Q12" i="19"/>
  <c r="Q24" i="19"/>
  <c r="Q51" i="19"/>
  <c r="Q52" i="19"/>
  <c r="Q18" i="19"/>
  <c r="Q65" i="19"/>
  <c r="Q69" i="19"/>
  <c r="Q68" i="19"/>
  <c r="Q39" i="19"/>
  <c r="Q4" i="19"/>
  <c r="N83" i="19"/>
  <c r="Q49" i="19"/>
  <c r="Q48" i="19"/>
  <c r="Q31" i="19"/>
  <c r="Q36" i="19"/>
  <c r="Q63" i="19"/>
  <c r="Q19" i="19"/>
  <c r="Q7" i="19"/>
  <c r="Q66" i="19"/>
  <c r="Q70" i="19"/>
  <c r="Q57" i="19"/>
  <c r="Q28" i="19"/>
  <c r="Q60" i="19"/>
  <c r="Q29" i="19"/>
  <c r="O83" i="19"/>
  <c r="Q76" i="19"/>
  <c r="Q50" i="19"/>
  <c r="Q32" i="19"/>
  <c r="Q15" i="19"/>
  <c r="Q46" i="19"/>
  <c r="Q42" i="19"/>
  <c r="Q78" i="19"/>
  <c r="Q44" i="19"/>
  <c r="Q35" i="19"/>
  <c r="Q9" i="19"/>
  <c r="Q71" i="19"/>
  <c r="Q59" i="19"/>
  <c r="Q8" i="19"/>
  <c r="Q16" i="19"/>
  <c r="Q40" i="19"/>
  <c r="Q64" i="19"/>
  <c r="Q47" i="19"/>
  <c r="Q5" i="19"/>
  <c r="Q30" i="19"/>
  <c r="Q53" i="19"/>
  <c r="Q13" i="19"/>
  <c r="Q26" i="19"/>
  <c r="Q45" i="19"/>
  <c r="Q74" i="19"/>
  <c r="Q17" i="19"/>
  <c r="Q82" i="19"/>
  <c r="K85" i="14"/>
  <c r="I85" i="14"/>
  <c r="AG83" i="22"/>
  <c r="AS83" i="22"/>
  <c r="AR83" i="22"/>
  <c r="AQ83" i="22"/>
  <c r="J85" i="14" l="1"/>
  <c r="F83" i="14"/>
  <c r="G83" i="14"/>
  <c r="O85" i="19"/>
  <c r="P85" i="19"/>
  <c r="N85" i="19"/>
  <c r="AH83" i="22"/>
  <c r="AJ44" i="22"/>
  <c r="AJ58" i="22"/>
  <c r="AX58" i="22" s="1"/>
  <c r="AJ23" i="22"/>
  <c r="AX23" i="22" s="1"/>
  <c r="AJ34" i="22"/>
  <c r="AX34" i="22" s="1"/>
  <c r="AJ36" i="22"/>
  <c r="AX36" i="22" s="1"/>
  <c r="AJ13" i="22"/>
  <c r="AJ79" i="22"/>
  <c r="AJ72" i="22"/>
  <c r="AX72" i="22" s="1"/>
  <c r="AJ66" i="22"/>
  <c r="AJ17" i="22"/>
  <c r="AX17" i="22" s="1"/>
  <c r="AJ29" i="22"/>
  <c r="AX29" i="22" s="1"/>
  <c r="AJ67" i="22"/>
  <c r="AX67" i="22" s="1"/>
  <c r="AJ7" i="22"/>
  <c r="AJ68" i="22"/>
  <c r="AX68" i="22" s="1"/>
  <c r="AJ27" i="22"/>
  <c r="AX27" i="22" s="1"/>
  <c r="AJ5" i="22"/>
  <c r="AX5" i="22" s="1"/>
  <c r="AJ49" i="22"/>
  <c r="AJ70" i="22"/>
  <c r="AX70" i="22" s="1"/>
  <c r="AJ41" i="22"/>
  <c r="AX41" i="22" s="1"/>
  <c r="AJ26" i="22"/>
  <c r="AX26" i="22" s="1"/>
  <c r="AJ75" i="22"/>
  <c r="AX75" i="22" s="1"/>
  <c r="AJ78" i="22"/>
  <c r="AX78" i="22" s="1"/>
  <c r="AJ77" i="22"/>
  <c r="AX77" i="22" s="1"/>
  <c r="AJ6" i="22"/>
  <c r="AX6" i="22" s="1"/>
  <c r="AJ53" i="22"/>
  <c r="AX53" i="22" s="1"/>
  <c r="AJ50" i="22"/>
  <c r="AX50" i="22" s="1"/>
  <c r="AJ20" i="22"/>
  <c r="AX20" i="22" s="1"/>
  <c r="AJ60" i="22"/>
  <c r="AX60" i="22" s="1"/>
  <c r="AJ57" i="22"/>
  <c r="AX57" i="22" s="1"/>
  <c r="AJ14" i="22"/>
  <c r="AX14" i="22" s="1"/>
  <c r="AJ74" i="22"/>
  <c r="AJ80" i="22"/>
  <c r="AX80" i="22" s="1"/>
  <c r="AJ24" i="22"/>
  <c r="AJ46" i="22"/>
  <c r="AX46" i="22" s="1"/>
  <c r="AJ76" i="22"/>
  <c r="AJ37" i="22"/>
  <c r="AX37" i="22" s="1"/>
  <c r="AJ65" i="22"/>
  <c r="AJ42" i="22"/>
  <c r="AX42" i="22" s="1"/>
  <c r="AJ43" i="22"/>
  <c r="AJ56" i="22"/>
  <c r="AX56" i="22" s="1"/>
  <c r="AJ32" i="22"/>
  <c r="AJ51" i="22"/>
  <c r="AX51" i="22" s="1"/>
  <c r="AJ47" i="22"/>
  <c r="AJ33" i="22"/>
  <c r="AX33" i="22" s="1"/>
  <c r="AJ8" i="22"/>
  <c r="AX8" i="22" s="1"/>
  <c r="AJ73" i="22"/>
  <c r="AJ28" i="22"/>
  <c r="AX28" i="22" s="1"/>
  <c r="AJ40" i="22"/>
  <c r="AX40" i="22" s="1"/>
  <c r="AJ81" i="22"/>
  <c r="AJ11" i="22"/>
  <c r="AX11" i="22" s="1"/>
  <c r="AJ18" i="22"/>
  <c r="AJ10" i="22"/>
  <c r="AJ22" i="22"/>
  <c r="AX22" i="22" s="1"/>
  <c r="AJ71" i="22"/>
  <c r="AX71" i="22" s="1"/>
  <c r="AJ25" i="22"/>
  <c r="AX25" i="22" s="1"/>
  <c r="AJ19" i="22"/>
  <c r="AX19" i="22" s="1"/>
  <c r="AJ21" i="22"/>
  <c r="AJ39" i="22"/>
  <c r="AX39" i="22" s="1"/>
  <c r="AJ12" i="22"/>
  <c r="AJ55" i="22"/>
  <c r="AX55" i="22" s="1"/>
  <c r="AJ16" i="22"/>
  <c r="AX16" i="22" s="1"/>
  <c r="AJ35" i="22"/>
  <c r="AJ48" i="22"/>
  <c r="AJ30" i="22"/>
  <c r="AX30" i="22" s="1"/>
  <c r="AJ31" i="22"/>
  <c r="AJ82" i="22"/>
  <c r="AX82" i="22" s="1"/>
  <c r="AJ64" i="22"/>
  <c r="AJ15" i="22"/>
  <c r="AX15" i="22" s="1"/>
  <c r="AJ52" i="22"/>
  <c r="AJ38" i="22"/>
  <c r="AX38" i="22" s="1"/>
  <c r="AJ9" i="22"/>
  <c r="AX9" i="22" s="1"/>
  <c r="AJ69" i="22"/>
  <c r="AX69" i="22" s="1"/>
  <c r="AJ59" i="22"/>
  <c r="AJ61" i="22"/>
  <c r="AX61" i="22" s="1"/>
  <c r="AJ45" i="22"/>
  <c r="AX45" i="22" s="1"/>
  <c r="AJ63" i="22"/>
  <c r="AX63" i="22" s="1"/>
  <c r="AJ62" i="22"/>
  <c r="AX62" i="22" s="1"/>
  <c r="AJ54" i="22"/>
  <c r="AX54" i="22" s="1"/>
  <c r="AA83" i="22"/>
  <c r="AJ4" i="22"/>
  <c r="AX4" i="22" s="1"/>
  <c r="C85" i="14"/>
  <c r="C99" i="22"/>
  <c r="C98" i="22"/>
  <c r="Q83" i="19"/>
  <c r="H85" i="14"/>
  <c r="Q85" i="19" l="1"/>
  <c r="E48" i="14"/>
  <c r="D48" i="14" s="1"/>
  <c r="AX48" i="22"/>
  <c r="E43" i="14"/>
  <c r="D43" i="14" s="1"/>
  <c r="AX43" i="22"/>
  <c r="AX74" i="22"/>
  <c r="AX79" i="22"/>
  <c r="AZ79" i="22" s="1"/>
  <c r="E35" i="14"/>
  <c r="D35" i="14" s="1"/>
  <c r="AX35" i="22"/>
  <c r="AX73" i="22"/>
  <c r="AX13" i="22"/>
  <c r="AX52" i="22"/>
  <c r="AX65" i="22"/>
  <c r="AX7" i="22"/>
  <c r="AX10" i="22"/>
  <c r="AZ10" i="22" s="1"/>
  <c r="AX64" i="22"/>
  <c r="AX12" i="22"/>
  <c r="AX18" i="22"/>
  <c r="AX47" i="22"/>
  <c r="E76" i="14"/>
  <c r="AX76" i="22"/>
  <c r="E59" i="14"/>
  <c r="AX59" i="22"/>
  <c r="AX31" i="22"/>
  <c r="AX21" i="22"/>
  <c r="AX81" i="22"/>
  <c r="AX32" i="22"/>
  <c r="AX24" i="22"/>
  <c r="E49" i="14"/>
  <c r="AX49" i="22"/>
  <c r="AX66" i="22"/>
  <c r="E44" i="14"/>
  <c r="AX44" i="22"/>
  <c r="E81" i="14"/>
  <c r="D81" i="14" s="1"/>
  <c r="E24" i="14"/>
  <c r="D24" i="14" s="1"/>
  <c r="E31" i="14"/>
  <c r="D31" i="14" s="1"/>
  <c r="E79" i="14"/>
  <c r="D79" i="14" s="1"/>
  <c r="E45" i="14"/>
  <c r="D45" i="14" s="1"/>
  <c r="AZ45" i="22"/>
  <c r="E15" i="14"/>
  <c r="D15" i="14" s="1"/>
  <c r="AZ15" i="22"/>
  <c r="AZ62" i="22"/>
  <c r="E62" i="14"/>
  <c r="D62" i="14" s="1"/>
  <c r="AZ55" i="22"/>
  <c r="E33" i="14"/>
  <c r="D33" i="14" s="1"/>
  <c r="AZ33" i="22"/>
  <c r="AZ63" i="22"/>
  <c r="E63" i="14"/>
  <c r="D63" i="14" s="1"/>
  <c r="E54" i="14"/>
  <c r="D54" i="14" s="1"/>
  <c r="AZ54" i="22"/>
  <c r="E69" i="14"/>
  <c r="D69" i="14" s="1"/>
  <c r="AZ69" i="22"/>
  <c r="AZ82" i="22"/>
  <c r="E82" i="14"/>
  <c r="D82" i="14" s="1"/>
  <c r="E19" i="14"/>
  <c r="D19" i="14" s="1"/>
  <c r="AZ19" i="22"/>
  <c r="AZ11" i="22"/>
  <c r="E11" i="14"/>
  <c r="D11" i="14" s="1"/>
  <c r="E56" i="14"/>
  <c r="D56" i="14" s="1"/>
  <c r="AZ56" i="22"/>
  <c r="E46" i="14"/>
  <c r="D46" i="14" s="1"/>
  <c r="AZ46" i="22"/>
  <c r="AZ6" i="22"/>
  <c r="E6" i="14"/>
  <c r="D6" i="14" s="1"/>
  <c r="AZ17" i="22"/>
  <c r="E17" i="14"/>
  <c r="D17" i="14" s="1"/>
  <c r="AZ23" i="22"/>
  <c r="E34" i="14"/>
  <c r="D34" i="14" s="1"/>
  <c r="AZ34" i="22"/>
  <c r="AZ26" i="22"/>
  <c r="E26" i="14"/>
  <c r="D26" i="14" s="1"/>
  <c r="E5" i="14"/>
  <c r="D5" i="14" s="1"/>
  <c r="AZ5" i="22"/>
  <c r="AZ58" i="22"/>
  <c r="E58" i="14"/>
  <c r="D58" i="14" s="1"/>
  <c r="E70" i="14"/>
  <c r="D70" i="14" s="1"/>
  <c r="AZ70" i="22"/>
  <c r="E61" i="14"/>
  <c r="D61" i="14" s="1"/>
  <c r="AZ61" i="22"/>
  <c r="E30" i="14"/>
  <c r="D30" i="14" s="1"/>
  <c r="AZ30" i="22"/>
  <c r="E39" i="14"/>
  <c r="D39" i="14" s="1"/>
  <c r="E40" i="14"/>
  <c r="D40" i="14" s="1"/>
  <c r="AZ51" i="22"/>
  <c r="E51" i="14"/>
  <c r="D51" i="14" s="1"/>
  <c r="AZ80" i="22"/>
  <c r="E80" i="14"/>
  <c r="D80" i="14" s="1"/>
  <c r="AZ50" i="22"/>
  <c r="E50" i="14"/>
  <c r="D50" i="14" s="1"/>
  <c r="E67" i="14"/>
  <c r="D67" i="14" s="1"/>
  <c r="AZ67" i="22"/>
  <c r="AZ72" i="22"/>
  <c r="E72" i="14"/>
  <c r="D72" i="14" s="1"/>
  <c r="E42" i="14"/>
  <c r="D42" i="14" s="1"/>
  <c r="E14" i="14"/>
  <c r="D14" i="14" s="1"/>
  <c r="AZ14" i="22"/>
  <c r="E52" i="14"/>
  <c r="D52" i="14" s="1"/>
  <c r="E16" i="14"/>
  <c r="D16" i="14" s="1"/>
  <c r="AZ22" i="22"/>
  <c r="E8" i="14"/>
  <c r="D8" i="14" s="1"/>
  <c r="AZ8" i="22"/>
  <c r="E65" i="14"/>
  <c r="D65" i="14" s="1"/>
  <c r="AZ57" i="22"/>
  <c r="E57" i="14"/>
  <c r="D57" i="14" s="1"/>
  <c r="E75" i="14"/>
  <c r="D75" i="14" s="1"/>
  <c r="AZ75" i="22"/>
  <c r="E7" i="14"/>
  <c r="D7" i="14" s="1"/>
  <c r="E36" i="14"/>
  <c r="D36" i="14" s="1"/>
  <c r="AZ36" i="22"/>
  <c r="AZ71" i="22"/>
  <c r="E71" i="14"/>
  <c r="D71" i="14" s="1"/>
  <c r="E73" i="14"/>
  <c r="D73" i="14" s="1"/>
  <c r="AZ20" i="22"/>
  <c r="E20" i="14"/>
  <c r="D20" i="14" s="1"/>
  <c r="AZ29" i="22"/>
  <c r="E29" i="14"/>
  <c r="D29" i="14" s="1"/>
  <c r="E13" i="14"/>
  <c r="D13" i="14" s="1"/>
  <c r="AZ38" i="22"/>
  <c r="AZ42" i="22"/>
  <c r="E9" i="14"/>
  <c r="D9" i="14" s="1"/>
  <c r="AZ9" i="22"/>
  <c r="AZ48" i="22"/>
  <c r="E25" i="14"/>
  <c r="D25" i="14" s="1"/>
  <c r="AZ25" i="22"/>
  <c r="E28" i="14"/>
  <c r="D28" i="14" s="1"/>
  <c r="AZ28" i="22"/>
  <c r="E74" i="14"/>
  <c r="D74" i="14" s="1"/>
  <c r="E77" i="14"/>
  <c r="D77" i="14" s="1"/>
  <c r="AZ77" i="22"/>
  <c r="E27" i="14"/>
  <c r="D27" i="14" s="1"/>
  <c r="AZ27" i="22"/>
  <c r="E64" i="14"/>
  <c r="D64" i="14" s="1"/>
  <c r="E12" i="14"/>
  <c r="D12" i="14" s="1"/>
  <c r="E18" i="14"/>
  <c r="D18" i="14" s="1"/>
  <c r="E47" i="14"/>
  <c r="D47" i="14" s="1"/>
  <c r="AZ47" i="22"/>
  <c r="E41" i="14"/>
  <c r="D41" i="14" s="1"/>
  <c r="AZ41" i="22"/>
  <c r="AZ68" i="22"/>
  <c r="E68" i="14"/>
  <c r="D68" i="14" s="1"/>
  <c r="E23" i="14"/>
  <c r="D23" i="14" s="1"/>
  <c r="E78" i="14"/>
  <c r="D78" i="14" s="1"/>
  <c r="E38" i="14"/>
  <c r="D38" i="14" s="1"/>
  <c r="E22" i="14"/>
  <c r="D22" i="14" s="1"/>
  <c r="E55" i="14"/>
  <c r="D55" i="14" s="1"/>
  <c r="E21" i="14"/>
  <c r="D21" i="14" s="1"/>
  <c r="AZ21" i="22"/>
  <c r="E10" i="14"/>
  <c r="D10" i="14" s="1"/>
  <c r="E32" i="14"/>
  <c r="D32" i="14" s="1"/>
  <c r="E37" i="14"/>
  <c r="D37" i="14" s="1"/>
  <c r="E60" i="14"/>
  <c r="D60" i="14" s="1"/>
  <c r="AZ60" i="22"/>
  <c r="E53" i="14"/>
  <c r="D53" i="14" s="1"/>
  <c r="AZ53" i="22"/>
  <c r="E66" i="14"/>
  <c r="D66" i="14" s="1"/>
  <c r="F85" i="14"/>
  <c r="AZ16" i="22"/>
  <c r="AJ83" i="22"/>
  <c r="C97" i="22" s="1"/>
  <c r="E4" i="14"/>
  <c r="G85" i="14"/>
  <c r="AZ59" i="22" l="1"/>
  <c r="AZ52" i="22"/>
  <c r="AZ32" i="22"/>
  <c r="AZ64" i="22"/>
  <c r="AZ74" i="22"/>
  <c r="AZ44" i="22"/>
  <c r="AZ76" i="22"/>
  <c r="AZ13" i="22"/>
  <c r="AZ43" i="22"/>
  <c r="AZ81" i="22"/>
  <c r="AZ73" i="22"/>
  <c r="AZ66" i="22"/>
  <c r="AZ49" i="22"/>
  <c r="AZ7" i="22"/>
  <c r="AZ31" i="22"/>
  <c r="AZ18" i="22"/>
  <c r="AZ24" i="22"/>
  <c r="AZ12" i="22"/>
  <c r="AZ65" i="22"/>
  <c r="D4" i="14"/>
  <c r="E83" i="14"/>
  <c r="D44" i="14"/>
  <c r="D59" i="14"/>
  <c r="D76" i="14"/>
  <c r="D49" i="14"/>
  <c r="AZ37" i="22"/>
  <c r="AZ78" i="22"/>
  <c r="AZ40" i="22"/>
  <c r="AZ35" i="22"/>
  <c r="AZ39" i="22"/>
  <c r="AZ4" i="22"/>
  <c r="AX83" i="22"/>
  <c r="AT83" i="22"/>
  <c r="D83" i="14" l="1"/>
  <c r="AZ83" i="22"/>
  <c r="E85" i="14"/>
  <c r="AX85" i="22"/>
  <c r="D84" i="14" s="1"/>
  <c r="C100" i="22"/>
  <c r="C104" i="22" s="1"/>
  <c r="D85" i="14" l="1"/>
  <c r="U85" i="14" l="1"/>
  <c r="S73" i="19" l="1"/>
  <c r="S44" i="19"/>
  <c r="S37" i="19"/>
  <c r="R37" i="19"/>
  <c r="R42" i="19"/>
  <c r="S42" i="19"/>
  <c r="R40" i="19"/>
  <c r="S40" i="19"/>
  <c r="R75" i="19"/>
  <c r="S75" i="19"/>
  <c r="S25" i="19"/>
  <c r="R25" i="19"/>
  <c r="R10" i="19"/>
  <c r="S10" i="19"/>
  <c r="S7" i="19"/>
  <c r="R7" i="19"/>
  <c r="S21" i="19"/>
  <c r="R21" i="19"/>
  <c r="R44" i="19"/>
  <c r="S27" i="19"/>
  <c r="R27" i="19"/>
  <c r="R48" i="19"/>
  <c r="S48" i="19"/>
  <c r="S41" i="19"/>
  <c r="R41" i="19"/>
  <c r="R51" i="19"/>
  <c r="S51" i="19"/>
  <c r="S9" i="19"/>
  <c r="R9" i="19"/>
  <c r="R56" i="19"/>
  <c r="S56" i="19"/>
  <c r="S29" i="19"/>
  <c r="R29" i="19"/>
  <c r="S35" i="19"/>
  <c r="R35" i="19"/>
  <c r="S43" i="19"/>
  <c r="R43" i="19"/>
  <c r="S80" i="19"/>
  <c r="R80" i="19"/>
  <c r="S15" i="19"/>
  <c r="R15" i="19"/>
  <c r="S52" i="19"/>
  <c r="R52" i="19"/>
  <c r="S65" i="19"/>
  <c r="R65" i="19"/>
  <c r="R6" i="19"/>
  <c r="S6" i="19"/>
  <c r="R18" i="19"/>
  <c r="S18" i="19"/>
  <c r="S72" i="19"/>
  <c r="R72" i="19"/>
  <c r="R79" i="19"/>
  <c r="S79" i="19"/>
  <c r="R14" i="19"/>
  <c r="S14" i="19"/>
  <c r="S68" i="19"/>
  <c r="R68" i="19"/>
  <c r="S30" i="19"/>
  <c r="R30" i="19"/>
  <c r="S36" i="19"/>
  <c r="R36" i="19"/>
  <c r="R49" i="19"/>
  <c r="S49" i="19"/>
  <c r="S45" i="19"/>
  <c r="R45" i="19"/>
  <c r="S77" i="19"/>
  <c r="R77" i="19"/>
  <c r="R55" i="19"/>
  <c r="S55" i="19"/>
  <c r="S17" i="19"/>
  <c r="R17" i="19"/>
  <c r="R53" i="19"/>
  <c r="S53" i="19"/>
  <c r="R33" i="19"/>
  <c r="S33" i="19"/>
  <c r="R74" i="19"/>
  <c r="S74" i="19"/>
  <c r="S12" i="19"/>
  <c r="R12" i="19"/>
  <c r="S57" i="19"/>
  <c r="R57" i="19"/>
  <c r="S64" i="19"/>
  <c r="R64" i="19"/>
  <c r="S20" i="19"/>
  <c r="R20" i="19"/>
  <c r="R78" i="19"/>
  <c r="S78" i="19"/>
  <c r="R81" i="19"/>
  <c r="S81" i="19"/>
  <c r="R28" i="19"/>
  <c r="S28" i="19"/>
  <c r="R16" i="19"/>
  <c r="S16" i="19"/>
  <c r="R61" i="19"/>
  <c r="S61" i="19"/>
  <c r="R71" i="19"/>
  <c r="S71" i="19"/>
  <c r="S60" i="19"/>
  <c r="R60" i="19"/>
  <c r="S8" i="19"/>
  <c r="R8" i="19"/>
  <c r="S39" i="19"/>
  <c r="R39" i="19"/>
  <c r="S5" i="19"/>
  <c r="R5" i="19"/>
  <c r="S4" i="19"/>
  <c r="R4" i="19"/>
  <c r="S19" i="19"/>
  <c r="R19" i="19"/>
  <c r="S69" i="19"/>
  <c r="R69" i="19"/>
  <c r="S47" i="19"/>
  <c r="R47" i="19"/>
  <c r="S67" i="19"/>
  <c r="R67" i="19"/>
  <c r="R13" i="19"/>
  <c r="S13" i="19"/>
  <c r="R66" i="19"/>
  <c r="S66" i="19"/>
  <c r="S32" i="19"/>
  <c r="R32" i="19"/>
  <c r="R70" i="19"/>
  <c r="S70" i="19"/>
  <c r="R62" i="19"/>
  <c r="S62" i="19"/>
  <c r="R31" i="19"/>
  <c r="S31" i="19"/>
  <c r="R26" i="19"/>
  <c r="S26" i="19"/>
  <c r="R24" i="19"/>
  <c r="S24" i="19"/>
  <c r="S11" i="19"/>
  <c r="R11" i="19"/>
  <c r="S22" i="19"/>
  <c r="R22" i="19"/>
  <c r="R38" i="19"/>
  <c r="S38" i="19"/>
  <c r="T56" i="19" l="1"/>
  <c r="U56" i="19" s="1"/>
  <c r="N56" i="14" s="1"/>
  <c r="T62" i="19"/>
  <c r="U62" i="19" s="1"/>
  <c r="T55" i="19"/>
  <c r="U55" i="19" s="1"/>
  <c r="T79" i="19"/>
  <c r="U79" i="19" s="1"/>
  <c r="T22" i="19"/>
  <c r="U22" i="19" s="1"/>
  <c r="N22" i="14" s="1"/>
  <c r="T43" i="19"/>
  <c r="U43" i="19" s="1"/>
  <c r="W43" i="19" s="1"/>
  <c r="T60" i="19"/>
  <c r="U60" i="19" s="1"/>
  <c r="W60" i="19" s="1"/>
  <c r="T64" i="19"/>
  <c r="U64" i="19" s="1"/>
  <c r="W64" i="19" s="1"/>
  <c r="T77" i="19"/>
  <c r="U77" i="19" s="1"/>
  <c r="N77" i="14" s="1"/>
  <c r="T72" i="19"/>
  <c r="U72" i="19" s="1"/>
  <c r="T52" i="19"/>
  <c r="U52" i="19" s="1"/>
  <c r="T29" i="19"/>
  <c r="U29" i="19" s="1"/>
  <c r="N29" i="14" s="1"/>
  <c r="T38" i="19"/>
  <c r="U38" i="19" s="1"/>
  <c r="W38" i="19" s="1"/>
  <c r="T26" i="19"/>
  <c r="U26" i="19" s="1"/>
  <c r="N26" i="14" s="1"/>
  <c r="T47" i="19"/>
  <c r="U47" i="19" s="1"/>
  <c r="N47" i="14" s="1"/>
  <c r="T15" i="19"/>
  <c r="U15" i="19" s="1"/>
  <c r="W15" i="19" s="1"/>
  <c r="T37" i="19"/>
  <c r="U37" i="19" s="1"/>
  <c r="N37" i="14" s="1"/>
  <c r="T66" i="19"/>
  <c r="U66" i="19" s="1"/>
  <c r="N66" i="14" s="1"/>
  <c r="T71" i="19"/>
  <c r="U71" i="19" s="1"/>
  <c r="W71" i="19" s="1"/>
  <c r="T10" i="19"/>
  <c r="U10" i="19" s="1"/>
  <c r="W10" i="19" s="1"/>
  <c r="T53" i="19"/>
  <c r="U53" i="19" s="1"/>
  <c r="W53" i="19" s="1"/>
  <c r="T16" i="19"/>
  <c r="U16" i="19" s="1"/>
  <c r="W16" i="19" s="1"/>
  <c r="T74" i="19"/>
  <c r="U74" i="19" s="1"/>
  <c r="N74" i="14" s="1"/>
  <c r="T81" i="19"/>
  <c r="U81" i="19" s="1"/>
  <c r="W81" i="19" s="1"/>
  <c r="T69" i="19"/>
  <c r="U69" i="19" s="1"/>
  <c r="N69" i="14" s="1"/>
  <c r="T51" i="19"/>
  <c r="U51" i="19" s="1"/>
  <c r="N51" i="14" s="1"/>
  <c r="R73" i="19"/>
  <c r="T73" i="19" s="1"/>
  <c r="U73" i="19" s="1"/>
  <c r="W73" i="19" s="1"/>
  <c r="T7" i="19"/>
  <c r="U7" i="19" s="1"/>
  <c r="N7" i="14" s="1"/>
  <c r="T44" i="19"/>
  <c r="U44" i="19" s="1"/>
  <c r="W44" i="19" s="1"/>
  <c r="T39" i="19"/>
  <c r="U39" i="19" s="1"/>
  <c r="N39" i="14" s="1"/>
  <c r="T12" i="19"/>
  <c r="U12" i="19" s="1"/>
  <c r="N12" i="14" s="1"/>
  <c r="T17" i="19"/>
  <c r="U17" i="19" s="1"/>
  <c r="W17" i="19" s="1"/>
  <c r="T30" i="19"/>
  <c r="U30" i="19" s="1"/>
  <c r="W30" i="19" s="1"/>
  <c r="T9" i="19"/>
  <c r="U9" i="19" s="1"/>
  <c r="N9" i="14" s="1"/>
  <c r="T65" i="19"/>
  <c r="U65" i="19" s="1"/>
  <c r="W65" i="19" s="1"/>
  <c r="T80" i="19"/>
  <c r="U80" i="19" s="1"/>
  <c r="N80" i="14" s="1"/>
  <c r="T25" i="19"/>
  <c r="U25" i="19" s="1"/>
  <c r="W25" i="19" s="1"/>
  <c r="N79" i="14"/>
  <c r="W79" i="19"/>
  <c r="R54" i="19"/>
  <c r="S54" i="19"/>
  <c r="R82" i="19"/>
  <c r="S82" i="19"/>
  <c r="T6" i="19"/>
  <c r="U6" i="19" s="1"/>
  <c r="T21" i="19"/>
  <c r="U21" i="19" s="1"/>
  <c r="R50" i="19"/>
  <c r="S50" i="19"/>
  <c r="T31" i="19"/>
  <c r="U31" i="19" s="1"/>
  <c r="T61" i="19"/>
  <c r="U61" i="19" s="1"/>
  <c r="T78" i="19"/>
  <c r="U78" i="19" s="1"/>
  <c r="W72" i="19"/>
  <c r="N72" i="14"/>
  <c r="T48" i="19"/>
  <c r="U48" i="19" s="1"/>
  <c r="W22" i="19"/>
  <c r="T11" i="19"/>
  <c r="U11" i="19" s="1"/>
  <c r="R59" i="19"/>
  <c r="S59" i="19"/>
  <c r="T8" i="19"/>
  <c r="U8" i="19" s="1"/>
  <c r="T20" i="19"/>
  <c r="U20" i="19" s="1"/>
  <c r="T49" i="19"/>
  <c r="U49" i="19" s="1"/>
  <c r="T68" i="19"/>
  <c r="U68" i="19" s="1"/>
  <c r="T35" i="19"/>
  <c r="U35" i="19" s="1"/>
  <c r="T27" i="19"/>
  <c r="U27" i="19" s="1"/>
  <c r="T42" i="19"/>
  <c r="U42" i="19" s="1"/>
  <c r="W55" i="19"/>
  <c r="N55" i="14"/>
  <c r="R46" i="19"/>
  <c r="S46" i="19"/>
  <c r="S76" i="19"/>
  <c r="R76" i="19"/>
  <c r="R23" i="19"/>
  <c r="S23" i="19"/>
  <c r="R58" i="19"/>
  <c r="S58" i="19"/>
  <c r="S34" i="19"/>
  <c r="R34" i="19"/>
  <c r="T75" i="19"/>
  <c r="U75" i="19" s="1"/>
  <c r="T4" i="19"/>
  <c r="T24" i="19"/>
  <c r="U24" i="19" s="1"/>
  <c r="T70" i="19"/>
  <c r="U70" i="19" s="1"/>
  <c r="T13" i="19"/>
  <c r="U13" i="19" s="1"/>
  <c r="T28" i="19"/>
  <c r="U28" i="19" s="1"/>
  <c r="T33" i="19"/>
  <c r="U33" i="19" s="1"/>
  <c r="T14" i="19"/>
  <c r="U14" i="19" s="1"/>
  <c r="R63" i="19"/>
  <c r="S63" i="19"/>
  <c r="N52" i="14"/>
  <c r="W52" i="19"/>
  <c r="W62" i="19"/>
  <c r="N62" i="14"/>
  <c r="T32" i="19"/>
  <c r="U32" i="19" s="1"/>
  <c r="T67" i="19"/>
  <c r="U67" i="19" s="1"/>
  <c r="T19" i="19"/>
  <c r="U19" i="19" s="1"/>
  <c r="T5" i="19"/>
  <c r="U5" i="19" s="1"/>
  <c r="T57" i="19"/>
  <c r="U57" i="19" s="1"/>
  <c r="T45" i="19"/>
  <c r="U45" i="19" s="1"/>
  <c r="T36" i="19"/>
  <c r="U36" i="19" s="1"/>
  <c r="T18" i="19"/>
  <c r="U18" i="19" s="1"/>
  <c r="T41" i="19"/>
  <c r="U41" i="19" s="1"/>
  <c r="T40" i="19"/>
  <c r="U40" i="19" s="1"/>
  <c r="N25" i="14" l="1"/>
  <c r="N53" i="14"/>
  <c r="W26" i="19"/>
  <c r="W37" i="19"/>
  <c r="W56" i="19"/>
  <c r="N44" i="14"/>
  <c r="X44" i="14" s="1"/>
  <c r="N38" i="14"/>
  <c r="X38" i="14" s="1"/>
  <c r="N43" i="14"/>
  <c r="X43" i="14" s="1"/>
  <c r="N16" i="14"/>
  <c r="X16" i="14" s="1"/>
  <c r="W74" i="19"/>
  <c r="W39" i="19"/>
  <c r="T76" i="19"/>
  <c r="U76" i="19" s="1"/>
  <c r="N76" i="14" s="1"/>
  <c r="N60" i="14"/>
  <c r="X60" i="14" s="1"/>
  <c r="W69" i="19"/>
  <c r="W77" i="19"/>
  <c r="N64" i="14"/>
  <c r="X64" i="14" s="1"/>
  <c r="W47" i="19"/>
  <c r="W29" i="19"/>
  <c r="W12" i="19"/>
  <c r="N15" i="14"/>
  <c r="X15" i="14" s="1"/>
  <c r="N71" i="14"/>
  <c r="N17" i="14"/>
  <c r="X17" i="14" s="1"/>
  <c r="N30" i="14"/>
  <c r="X30" i="14" s="1"/>
  <c r="W66" i="19"/>
  <c r="W80" i="19"/>
  <c r="T82" i="19"/>
  <c r="U82" i="19" s="1"/>
  <c r="N82" i="14" s="1"/>
  <c r="W7" i="19"/>
  <c r="N73" i="14"/>
  <c r="X73" i="14" s="1"/>
  <c r="N10" i="14"/>
  <c r="N65" i="14"/>
  <c r="S83" i="19"/>
  <c r="S85" i="19" s="1"/>
  <c r="W51" i="19"/>
  <c r="N81" i="14"/>
  <c r="W9" i="19"/>
  <c r="T63" i="19"/>
  <c r="U63" i="19" s="1"/>
  <c r="N63" i="14" s="1"/>
  <c r="T46" i="19"/>
  <c r="U46" i="19" s="1"/>
  <c r="W46" i="19" s="1"/>
  <c r="T59" i="19"/>
  <c r="U59" i="19" s="1"/>
  <c r="N59" i="14" s="1"/>
  <c r="R83" i="19"/>
  <c r="R85" i="19" s="1"/>
  <c r="T58" i="19"/>
  <c r="U58" i="19" s="1"/>
  <c r="N58" i="14" s="1"/>
  <c r="T23" i="19"/>
  <c r="U23" i="19" s="1"/>
  <c r="W23" i="19" s="1"/>
  <c r="N67" i="14"/>
  <c r="W67" i="19"/>
  <c r="X62" i="14"/>
  <c r="W14" i="19"/>
  <c r="N14" i="14"/>
  <c r="T34" i="19"/>
  <c r="U34" i="19" s="1"/>
  <c r="X55" i="14"/>
  <c r="W42" i="19"/>
  <c r="N42" i="14"/>
  <c r="X80" i="14"/>
  <c r="X47" i="14"/>
  <c r="N33" i="14"/>
  <c r="W33" i="19"/>
  <c r="X51" i="14"/>
  <c r="W27" i="19"/>
  <c r="N27" i="14"/>
  <c r="N11" i="14"/>
  <c r="W11" i="19"/>
  <c r="X56" i="14"/>
  <c r="N18" i="14"/>
  <c r="W18" i="19"/>
  <c r="N28" i="14"/>
  <c r="W28" i="19"/>
  <c r="X77" i="14"/>
  <c r="X74" i="14"/>
  <c r="W35" i="19"/>
  <c r="N35" i="14"/>
  <c r="X22" i="14"/>
  <c r="W68" i="19"/>
  <c r="N68" i="14"/>
  <c r="X72" i="14"/>
  <c r="T50" i="19"/>
  <c r="U50" i="19" s="1"/>
  <c r="T54" i="19"/>
  <c r="U54" i="19" s="1"/>
  <c r="W45" i="19"/>
  <c r="N45" i="14"/>
  <c r="W13" i="19"/>
  <c r="N13" i="14"/>
  <c r="U4" i="19"/>
  <c r="W49" i="19"/>
  <c r="N49" i="14"/>
  <c r="X25" i="14"/>
  <c r="N21" i="14"/>
  <c r="W21" i="19"/>
  <c r="W32" i="19"/>
  <c r="N32" i="14"/>
  <c r="X29" i="14"/>
  <c r="N57" i="14"/>
  <c r="W57" i="19"/>
  <c r="X52" i="14"/>
  <c r="N70" i="14"/>
  <c r="W70" i="19"/>
  <c r="N75" i="14"/>
  <c r="W75" i="19"/>
  <c r="N20" i="14"/>
  <c r="W20" i="19"/>
  <c r="W78" i="19"/>
  <c r="N78" i="14"/>
  <c r="X12" i="14"/>
  <c r="X79" i="14"/>
  <c r="X26" i="14"/>
  <c r="N40" i="14"/>
  <c r="W40" i="19"/>
  <c r="X37" i="14"/>
  <c r="W5" i="19"/>
  <c r="N5" i="14"/>
  <c r="X69" i="14"/>
  <c r="N24" i="14"/>
  <c r="W24" i="19"/>
  <c r="N8" i="14"/>
  <c r="W8" i="19"/>
  <c r="W48" i="19"/>
  <c r="N48" i="14"/>
  <c r="W61" i="19"/>
  <c r="N61" i="14"/>
  <c r="X9" i="14"/>
  <c r="X39" i="14"/>
  <c r="W41" i="19"/>
  <c r="N41" i="14"/>
  <c r="W36" i="19"/>
  <c r="N36" i="14"/>
  <c r="W19" i="19"/>
  <c r="N19" i="14"/>
  <c r="X7" i="14"/>
  <c r="X66" i="14"/>
  <c r="W31" i="19"/>
  <c r="N31" i="14"/>
  <c r="W6" i="19"/>
  <c r="N6" i="14"/>
  <c r="X53" i="14"/>
  <c r="W76" i="19" l="1"/>
  <c r="X71" i="14"/>
  <c r="N23" i="14"/>
  <c r="X23" i="14" s="1"/>
  <c r="W63" i="19"/>
  <c r="X81" i="14"/>
  <c r="W82" i="19"/>
  <c r="N46" i="14"/>
  <c r="X46" i="14" s="1"/>
  <c r="X10" i="14"/>
  <c r="W59" i="19"/>
  <c r="X65" i="14"/>
  <c r="W58" i="19"/>
  <c r="X32" i="14"/>
  <c r="X31" i="14"/>
  <c r="X63" i="14"/>
  <c r="X61" i="14"/>
  <c r="X78" i="14"/>
  <c r="W4" i="19"/>
  <c r="U83" i="19"/>
  <c r="U85" i="19" s="1"/>
  <c r="N84" i="14" s="1"/>
  <c r="N4" i="14"/>
  <c r="N50" i="14"/>
  <c r="W50" i="19"/>
  <c r="X58" i="14"/>
  <c r="X28" i="14"/>
  <c r="X24" i="14"/>
  <c r="X40" i="14"/>
  <c r="X13" i="14"/>
  <c r="X35" i="14"/>
  <c r="X59" i="14"/>
  <c r="X19" i="14"/>
  <c r="X48" i="14"/>
  <c r="X18" i="14"/>
  <c r="X14" i="14"/>
  <c r="X6" i="14"/>
  <c r="X20" i="14"/>
  <c r="X57" i="14"/>
  <c r="X21" i="14"/>
  <c r="X76" i="14"/>
  <c r="X68" i="14"/>
  <c r="X42" i="14"/>
  <c r="X36" i="14"/>
  <c r="X5" i="14"/>
  <c r="X33" i="14"/>
  <c r="X8" i="14"/>
  <c r="X75" i="14"/>
  <c r="X45" i="14"/>
  <c r="X41" i="14"/>
  <c r="X11" i="14"/>
  <c r="X49" i="14"/>
  <c r="X70" i="14"/>
  <c r="T83" i="19"/>
  <c r="T85" i="19" s="1"/>
  <c r="N54" i="14"/>
  <c r="W54" i="19"/>
  <c r="X82" i="14"/>
  <c r="X27" i="14"/>
  <c r="N34" i="14"/>
  <c r="W34" i="19"/>
  <c r="X67" i="14"/>
  <c r="N83" i="14" l="1"/>
  <c r="W83" i="19"/>
  <c r="X54" i="14"/>
  <c r="X34" i="14"/>
  <c r="X50" i="14"/>
  <c r="X4" i="14"/>
  <c r="C102" i="14"/>
  <c r="X84" i="14"/>
  <c r="N85" i="14" l="1"/>
  <c r="X83" i="14"/>
  <c r="X8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tc={EB71E415-EBD0-4497-8D77-1974D9AB53B1}</author>
  </authors>
  <commentList>
    <comment ref="X3" authorId="0" shapeId="0" xr:uid="{EB71E415-EBD0-4497-8D77-1974D9AB53B1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Sh KÕP tervislikel põhjustel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tc={31C8E7E7-D2AC-443F-858D-DCD3D7A0E9AE}</author>
    <author>tc={4ADCEC1A-A785-47D5-AF02-BE0A3926E7A0}</author>
    <author>tc={07848677-F2BF-446C-9FC5-F5B614531C39}</author>
  </authors>
  <commentList>
    <comment ref="C1" authorId="0" shapeId="0" xr:uid="{31C8E7E7-D2AC-443F-858D-DCD3D7A0E9AE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Konto: 551100 Küte ja soojusenergia, 551101 Elekter, 551200 Küte ja soojusenergia, 551210 Elekter. Kõik tegevusalad, v.a tervishoiu valdkond ja 06605 Muud elamu- ja kommunaalmajanduse tegevus ja 06300 veevarustus ning 043xx</t>
      </text>
    </comment>
    <comment ref="S3" authorId="1" shapeId="0" xr:uid="{4ADCEC1A-A785-47D5-AF02-BE0A3926E7A0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EMTA andmetel</t>
      </text>
    </comment>
    <comment ref="T3" authorId="2" shapeId="0" xr:uid="{07848677-F2BF-446C-9FC5-F5B614531C39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EMTA andmetel s. 10.11.2022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</author>
    <author>Andrus Jõgi</author>
    <author>tc={8CAA8D98-AC1D-4DB0-9EB2-DF4C65825B48}</author>
  </authors>
  <commentList>
    <comment ref="G2" authorId="0" shapeId="0" xr:uid="{00000000-0006-0000-0C00-000001000000}">
      <text>
        <r>
          <rPr>
            <b/>
            <sz val="8"/>
            <color indexed="81"/>
            <rFont val="Tahoma"/>
            <family val="2"/>
            <charset val="186"/>
          </rPr>
          <t>RM:</t>
        </r>
        <r>
          <rPr>
            <sz val="8"/>
            <color indexed="81"/>
            <rFont val="Tahoma"/>
            <family val="2"/>
            <charset val="186"/>
          </rPr>
          <t xml:space="preserve">
EMTA andmed; keskmiste määradega</t>
        </r>
      </text>
    </comment>
    <comment ref="I2" authorId="0" shapeId="0" xr:uid="{00000000-0006-0000-0C00-000003000000}">
      <text>
        <r>
          <rPr>
            <b/>
            <sz val="8"/>
            <color indexed="81"/>
            <rFont val="Tahoma"/>
            <family val="2"/>
            <charset val="186"/>
          </rPr>
          <t>RM:</t>
        </r>
        <r>
          <rPr>
            <sz val="8"/>
            <color indexed="81"/>
            <rFont val="Tahoma"/>
            <family val="2"/>
            <charset val="186"/>
          </rPr>
          <t xml:space="preserve">
Rahvastikuregister</t>
        </r>
      </text>
    </comment>
    <comment ref="P2" authorId="1" shapeId="0" xr:uid="{00000000-0006-0000-0C00-000004000000}">
      <text>
        <r>
          <rPr>
            <b/>
            <sz val="9"/>
            <color indexed="81"/>
            <rFont val="Segoe UI"/>
            <family val="2"/>
            <charset val="186"/>
          </rPr>
          <t>Andrus Jõgi:</t>
        </r>
        <r>
          <rPr>
            <sz val="9"/>
            <color indexed="81"/>
            <rFont val="Segoe UI"/>
            <family val="2"/>
            <charset val="186"/>
          </rPr>
          <t xml:space="preserve">
sh vanglaõpe ja eriõpe, mille eest makstakse juba eraldi tegevuskulu toetust. St topelt. (need ei kajastu üldharidustoetuses)</t>
        </r>
      </text>
    </comment>
    <comment ref="AB84" authorId="1" shapeId="0" xr:uid="{00000000-0006-0000-0C00-000006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2018 - 89,5%
2019 - 88,3%
2020 - 86,7%
2021 - 84,7%
2022 - 81,9%
2023 - 77,8%
2024 - 71,5%
(% on eelmise aasta summast)</t>
        </r>
      </text>
    </comment>
    <comment ref="X89" authorId="0" shapeId="0" xr:uid="{00000000-0006-0000-0C00-000007000000}">
      <text>
        <r>
          <rPr>
            <b/>
            <sz val="8"/>
            <color indexed="81"/>
            <rFont val="Tahoma"/>
            <family val="2"/>
            <charset val="186"/>
          </rPr>
          <t>RM:</t>
        </r>
        <r>
          <rPr>
            <sz val="8"/>
            <color indexed="81"/>
            <rFont val="Tahoma"/>
            <family val="2"/>
            <charset val="186"/>
          </rPr>
          <t xml:space="preserve">
Rahvastikuregister</t>
        </r>
      </text>
    </comment>
    <comment ref="Y89" authorId="0" shapeId="0" xr:uid="{00000000-0006-0000-0C00-000008000000}">
      <text>
        <r>
          <rPr>
            <b/>
            <sz val="8"/>
            <color indexed="81"/>
            <rFont val="Tahoma"/>
            <family val="2"/>
            <charset val="186"/>
          </rPr>
          <t>RM:</t>
        </r>
        <r>
          <rPr>
            <sz val="8"/>
            <color indexed="81"/>
            <rFont val="Tahoma"/>
            <family val="2"/>
            <charset val="186"/>
          </rPr>
          <t xml:space="preserve">
Veeteede ameti andmetel</t>
        </r>
      </text>
    </comment>
    <comment ref="H95" authorId="1" shapeId="0" xr:uid="{00000000-0006-0000-0C00-000009000000}">
      <text>
        <r>
          <rPr>
            <b/>
            <sz val="9"/>
            <color indexed="81"/>
            <rFont val="Segoe UI"/>
            <family val="2"/>
            <charset val="186"/>
          </rPr>
          <t>Andrus Jõgi:</t>
        </r>
        <r>
          <rPr>
            <sz val="9"/>
            <color indexed="81"/>
            <rFont val="Segoe UI"/>
            <family val="2"/>
            <charset val="186"/>
          </rPr>
          <t xml:space="preserve">
2020.a - 55%
2021.a 40%
2022.a 25%
2023.a 10%
2024.a -</t>
        </r>
      </text>
    </comment>
    <comment ref="H96" authorId="1" shapeId="0" xr:uid="{00000000-0006-0000-0C00-00000A000000}">
      <text>
        <r>
          <rPr>
            <b/>
            <sz val="9"/>
            <color indexed="81"/>
            <rFont val="Segoe UI"/>
            <family val="2"/>
            <charset val="186"/>
          </rPr>
          <t>Andrus Jõgi:</t>
        </r>
        <r>
          <rPr>
            <sz val="9"/>
            <color indexed="81"/>
            <rFont val="Segoe UI"/>
            <family val="2"/>
            <charset val="186"/>
          </rPr>
          <t xml:space="preserve">
2020.a 85%
2021.a 70%
2022.a 55%
2023.a 40%
2024.a 25%
2025.a 10%
2026.a -</t>
        </r>
      </text>
    </comment>
    <comment ref="Y106" authorId="2" shapeId="0" xr:uid="{8CAA8D98-AC1D-4DB0-9EB2-DF4C65825B48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2022.a-st 4,5 (enne 2,5)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</authors>
  <commentList>
    <comment ref="J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Piirkondlikku kättesaadavust iseloomustav näitaja leitakse asustusüksuste koefitsientide kaalutud keskmisena. Asustusüksuse koefitsient on kuni viiekümne 7–19-aastaste noorte koguarvu korral 5 ning see väheneb iga täiendava noorega 0,01112 võrra, kusjuures negatiivne tulemus loetakse võrdseks nulliga.</t>
        </r>
      </text>
    </comment>
    <comment ref="K1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Toimetulekuraskustes peredes elavate 7–19-aastaste noorte arv toetuse andmise aastale eelneval eelarveaastal toimetulekutoetust ja vajaduspõhist peretoetust saanud peredes Sotsiaalministeeriumi andmetel;</t>
        </r>
      </text>
    </comment>
    <comment ref="L1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7–19-aastaste noorte arv toetuse andmise aasta alguse seisuga rahvastikuregistri andmetel;</t>
        </r>
      </text>
    </comment>
    <comment ref="M1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7–19-aastaste puudega noorte arv, kelle kohta on Sotsiaalkindlustusamet teinud puude raskusastme tuvastamise otsuse hiljemalt toetuse andmise aastale eelneva aasta 1. novembriks;</t>
        </r>
      </text>
    </comment>
    <comment ref="C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elanike arv eelneva eelarveaasta alguse seisuga rahvastikuregistri andmetel.</t>
        </r>
      </text>
    </comment>
    <comment ref="D2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tulumaks ja määratud maamaks toetuse andmise aastale eelneval eelarveaastal Maksu- ja Tolliameti andmetel ning tasandusfond toetuse andmise aastale eelneval eelarveaastal Rahandusministeeriumi andmetel;
Koefitsiendid on arvestatud külade liikumist mitte arvesse võttes. Kuna kõik algandmed on ühtemoodi, ei ole sellel olulist mõju koefitsiendile.</t>
        </r>
      </text>
    </comment>
    <comment ref="F3" authorId="0" shapeId="0" xr:uid="{00000000-0006-0000-0100-000007000000}">
      <text>
        <r>
          <rPr>
            <b/>
            <sz val="9"/>
            <color indexed="81"/>
            <rFont val="Segoe UI"/>
            <family val="2"/>
            <charset val="186"/>
          </rPr>
          <t>Andrus Jõgi:</t>
        </r>
        <r>
          <rPr>
            <sz val="9"/>
            <color indexed="81"/>
            <rFont val="Segoe UI"/>
            <family val="2"/>
            <charset val="186"/>
          </rPr>
          <t xml:space="preserve">
tasanduse osa</t>
        </r>
      </text>
    </comment>
    <comment ref="Q3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Huvihariduse ja huvitegevuse toetusest jaotatakse 50% huvihariduse ja huvitegevuse kättesaadavuse tagamise eesmärgil ning 50% mitmekesisuse tagamise eesmärgil.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</authors>
  <commentList>
    <comment ref="C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Kohaliku omavalitsuse üksus esitab andmed lasteaiaõpetajate kinnitatud töötasu alammäära kohta Haridus- ja Teadusministeeriumile hiljemalt toetuse andmise aasta 30. jaanuariks.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</authors>
  <commentList>
    <comment ref="H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Jaotatakse ära I poolaastal (tegelike arvutuste tegemisel kasutatakse andmeid seisuga eelmise aasta 01.12)</t>
        </r>
      </text>
    </comment>
    <comment ref="M1" authorId="0" shapeId="0" xr:uid="{F4F0930B-C4ED-4C08-AEE7-9C2AE74B868A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Jaotatakse ära I poolaastal (tegelike arvutuste tegemisel kasutatakse andmeid seisuga eelmise aasta 01.12)</t>
        </r>
      </text>
    </comment>
    <comment ref="S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Jaotatakse II poolaastal (tegelike arvutuste tegemisel kasutatakse andmeid seisuga 01.06)</t>
        </r>
      </text>
    </comment>
    <comment ref="T1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Toetus jaotatakse kohaliku omavalitsuse üksuste vahel proportsionaalselt asendus- ja järelhooldusel viibinud isikute arvule, lahutades tulemusest kohaliku omavalitsuse üksusele jooksvale aastale eelnenud aastatel samaks otstarbeks antud vahendite jäägi. Seejuures korrutatakse järelhooldusel olevate isikute arv 1,0-ga, hooldusperes asendushooldusel olevate isikute arv 2,0-ga, asenduskodus asendushooldusel olevate isikute arv 2,3-ga ja perekodus asendushooldusel olevate isikute arv 2,4-ga. 
Kohaliku omavalitsuse üksus võib kasutada toetust asendus- ja järelhooldusteenuse osutamiseks, korraldamiseks ning hooldusperede toetamiseks.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Toetuse jaotamisel võetakse aluseks 19–64-aastaste isikute ning  65-aastaste ja vanemate isikute arv rahvastikuregistri andmetel vastava aasta alguse seisuga.</t>
        </r>
      </text>
    </comment>
    <comment ref="N1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Toetusest jaotatakse 21 protsenti proportsionaalselt 19–64-aastaste isikute arvuga ning 79 protsenti 65-aastaste ja vanemate isikute arvuga, lahutades tulemusest kohaliku omavalitsuse üksusele jooksvale aastale eelnenud aastatel samaks otstarbeks antud vahendite jäägi.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andrus.jogi</author>
    <author>Andrus Jõgi</author>
  </authors>
  <commentList>
    <comment ref="C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86"/>
          </rPr>
          <t>andrus.jogi:</t>
        </r>
        <r>
          <rPr>
            <sz val="9"/>
            <color indexed="81"/>
            <rFont val="Tahoma"/>
            <family val="2"/>
            <charset val="186"/>
          </rPr>
          <t xml:space="preserve">
Sotsiaalkindlustusameti andmetel</t>
        </r>
      </text>
    </comment>
    <comment ref="E1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Toetus jaotatakse kohaliku omavalitsuse üksuste vahel proportsionaalselt raske ja sügava puudega laste arvule. Seejuures sügava puudega laste arv korrutatakse 3-ga.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  <author>tc={B5474652-90EC-4791-9500-1A421EC2F154}</author>
  </authors>
  <commentList>
    <comment ref="C1" authorId="0" shapeId="0" xr:uid="{0C9370D8-02D0-40F8-9BD7-3319B359C298}">
      <text>
        <r>
          <rPr>
            <b/>
            <sz val="9"/>
            <color indexed="81"/>
            <rFont val="Tahoma"/>
            <family val="2"/>
            <charset val="186"/>
          </rPr>
          <t>Andrus Jõgi:</t>
        </r>
        <r>
          <rPr>
            <sz val="9"/>
            <color indexed="81"/>
            <rFont val="Tahoma"/>
            <family val="2"/>
            <charset val="186"/>
          </rPr>
          <t xml:space="preserve">
Toetuse jaotamisel võetakse aluseks 19–64-aastaste isikute ning  65-aastaste ja vanemate isikute arv rahvastikuregistri andmetel vastava aasta alguse seisuga.</t>
        </r>
      </text>
    </comment>
    <comment ref="E1" authorId="1" shapeId="0" xr:uid="{B5474652-90EC-4791-9500-1A421EC2F154}">
      <text>
        <t xml:space="preserve">[Lõimkommentaar]
Teie Exceli versioon võimaldab teil seda lõimkommentaari lugeda, ent kõik sellesse tehtud muudatused eemaldatakse, kui fail avatakse Exceli uuemas versioonis. Lisateavet leiate siit: https://go.microsoft.com/fwlink/?linkid=870924.
Kommentaar:
    (37) Riigieelarves määratakse riigieelarve võimalustest lähtudes kohaliku omavalitsuse üksustele toetus pikaajalist hooldust vajavatele täisealistele isikutele teenuste osutamiseks. Toetus jaotatakse kohaliku omavalitsuse üksuste vahel proportsionaalselt 65–84-aastaste ja vähemalt 85-aastaste elanike arvu alusel. Seejuures üle 85-aastaste elanike arv arvestatakse koefitsiendiga 4,8. 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Andrus Jõgi</author>
  </authors>
  <commentList>
    <comment ref="T88" authorId="0" shapeId="0" xr:uid="{00000000-0006-0000-0800-000001000000}">
      <text>
        <r>
          <rPr>
            <b/>
            <sz val="9"/>
            <color indexed="81"/>
            <rFont val="Segoe UI"/>
            <family val="2"/>
            <charset val="186"/>
          </rPr>
          <t>Andrus Jõgi:</t>
        </r>
        <r>
          <rPr>
            <sz val="9"/>
            <color indexed="81"/>
            <rFont val="Segoe UI"/>
            <family val="2"/>
            <charset val="186"/>
          </rPr>
          <t xml:space="preserve">
siin andmehõived ja parandamine koos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tc={DFFDEF60-F0B6-428D-A6F1-8F8259BB2EFA}</author>
    <author>tc={2C4D97C4-0572-4DF7-AD9B-58F332211D0A}</author>
    <author>tc={6FEA0E54-E6B7-492C-A01B-AFC1DD81F76C}</author>
  </authors>
  <commentList>
    <comment ref="F1" authorId="0" shapeId="0" xr:uid="{DFFDEF60-F0B6-428D-A6F1-8F8259BB2EFA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Neid teid rahastatakse erikorras</t>
      </text>
    </comment>
    <comment ref="F4" authorId="1" shapeId="0" xr:uid="{2C4D97C4-0572-4DF7-AD9B-58F332211D0A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Vald ei ole teed registrisse kandud, seega ei saa siin ka maha lahutada.</t>
      </text>
    </comment>
    <comment ref="F19" authorId="2" shapeId="0" xr:uid="{6FEA0E54-E6B7-492C-A01B-AFC1DD81F76C}">
      <text>
        <t>[Lõimkommentaar]
Teie Exceli versioon võimaldab teil seda lõimkommentaari lugeda, ent kõik sellesse tehtud muudatused eemaldatakse, kui fail avatakse Exceli uuemas versioonis. Lisateavet leiate siit: https://go.microsoft.com/fwlink/?linkid=870924.
Kommentaar:
    Viimsi ei ole neid teid registrisse veel kandnud, seetõttu ei saa neid ka maha lahutada.</t>
      </text>
    </comment>
  </commentList>
</comments>
</file>

<file path=xl/sharedStrings.xml><?xml version="1.0" encoding="utf-8"?>
<sst xmlns="http://schemas.openxmlformats.org/spreadsheetml/2006/main" count="3971" uniqueCount="860">
  <si>
    <t>Võru linn</t>
  </si>
  <si>
    <t>Võru</t>
  </si>
  <si>
    <t>Setomaa</t>
  </si>
  <si>
    <t>Rõuge</t>
  </si>
  <si>
    <t>Antsla</t>
  </si>
  <si>
    <t>Viljandi linn</t>
  </si>
  <si>
    <t>Viljandi</t>
  </si>
  <si>
    <t>Mulgi</t>
  </si>
  <si>
    <t>Põhja-Sakala</t>
  </si>
  <si>
    <t>Tõrva</t>
  </si>
  <si>
    <t>Valga</t>
  </si>
  <si>
    <t>Otepää</t>
  </si>
  <si>
    <t>Kambja</t>
  </si>
  <si>
    <t>Tartu</t>
  </si>
  <si>
    <t>Luunja</t>
  </si>
  <si>
    <t>Tartu linn</t>
  </si>
  <si>
    <t>Kastre</t>
  </si>
  <si>
    <t>Nõo</t>
  </si>
  <si>
    <t>Elva</t>
  </si>
  <si>
    <t>Ruhnu</t>
  </si>
  <si>
    <t>Saare</t>
  </si>
  <si>
    <t>Muhu</t>
  </si>
  <si>
    <t>Saaremaa</t>
  </si>
  <si>
    <t>Kohila</t>
  </si>
  <si>
    <t>Rapla</t>
  </si>
  <si>
    <t>Kehtna</t>
  </si>
  <si>
    <t>Märjamaa</t>
  </si>
  <si>
    <t>Kihnu</t>
  </si>
  <si>
    <t>Pärnu</t>
  </si>
  <si>
    <t>Tori</t>
  </si>
  <si>
    <t>Pärnu linn</t>
  </si>
  <si>
    <t>Põhja-Pärnumaa</t>
  </si>
  <si>
    <t>Häädemeeste</t>
  </si>
  <si>
    <t>Saarde</t>
  </si>
  <si>
    <t>Räpina</t>
  </si>
  <si>
    <t>Põlva</t>
  </si>
  <si>
    <t>Kanepi</t>
  </si>
  <si>
    <t>Rakvere linn</t>
  </si>
  <si>
    <t>Lääne-Viru</t>
  </si>
  <si>
    <t>Viru-Nigula</t>
  </si>
  <si>
    <t>Kadrina</t>
  </si>
  <si>
    <t>Tapa</t>
  </si>
  <si>
    <t>Väike-Maarja</t>
  </si>
  <si>
    <t>Haljala</t>
  </si>
  <si>
    <t>Rakvere</t>
  </si>
  <si>
    <t>Vinni</t>
  </si>
  <si>
    <t>Vormsi</t>
  </si>
  <si>
    <t>Lääne</t>
  </si>
  <si>
    <t>Haapsalu linn</t>
  </si>
  <si>
    <t>Lääneranna</t>
  </si>
  <si>
    <t>Lääne-Nigula</t>
  </si>
  <si>
    <t>Paide linn</t>
  </si>
  <si>
    <t>Järva</t>
  </si>
  <si>
    <t>Türi</t>
  </si>
  <si>
    <t>Mustvee</t>
  </si>
  <si>
    <t>Jõgeva</t>
  </si>
  <si>
    <t>Põltsamaa</t>
  </si>
  <si>
    <t>Kohtla-Järve linn</t>
  </si>
  <si>
    <t>Ida-Viru</t>
  </si>
  <si>
    <t>Narva linn</t>
  </si>
  <si>
    <t>Jõhvi</t>
  </si>
  <si>
    <t>Sillamäe linn</t>
  </si>
  <si>
    <t>Narva-Jõesuu linn</t>
  </si>
  <si>
    <t>Lüganuse</t>
  </si>
  <si>
    <t>Toila vald</t>
  </si>
  <si>
    <t>Alutaguse</t>
  </si>
  <si>
    <t>Hiiumaa</t>
  </si>
  <si>
    <t>Hiiu</t>
  </si>
  <si>
    <t>Maardu linn</t>
  </si>
  <si>
    <t>Harju</t>
  </si>
  <si>
    <t>Viimsi</t>
  </si>
  <si>
    <t>Kiili</t>
  </si>
  <si>
    <t>Tallinn</t>
  </si>
  <si>
    <t>Raasiku</t>
  </si>
  <si>
    <t>Harku</t>
  </si>
  <si>
    <t>Saku</t>
  </si>
  <si>
    <t>Rae</t>
  </si>
  <si>
    <t>Jõelähtme</t>
  </si>
  <si>
    <t>Kose</t>
  </si>
  <si>
    <t>Anija</t>
  </si>
  <si>
    <t>Saue</t>
  </si>
  <si>
    <t>Keila linn</t>
  </si>
  <si>
    <t>Lääne-Harju</t>
  </si>
  <si>
    <t>Loksa linn</t>
  </si>
  <si>
    <t>Kuusalu</t>
  </si>
  <si>
    <t>vahe</t>
  </si>
  <si>
    <t>+kasv</t>
  </si>
  <si>
    <t>teed</t>
  </si>
  <si>
    <t>tööealine (19-65)</t>
  </si>
  <si>
    <t>Gümn õp munitsipaalkoolis</t>
  </si>
  <si>
    <t>Parameetrid</t>
  </si>
  <si>
    <t>KÕIK KOKKU</t>
  </si>
  <si>
    <t>Võru vald</t>
  </si>
  <si>
    <t>Võru vallavalitsus</t>
  </si>
  <si>
    <t>Vastseliina vald</t>
  </si>
  <si>
    <t>Vastseliina vallavalitsus</t>
  </si>
  <si>
    <t>Varstu vald</t>
  </si>
  <si>
    <t>Varstu vallavalitsus</t>
  </si>
  <si>
    <t>Urvaste vald</t>
  </si>
  <si>
    <t>Urvaste vallavalitsus</t>
  </si>
  <si>
    <t>Sõmerpalu vald</t>
  </si>
  <si>
    <t>Sõmerpalu vallavalitsus</t>
  </si>
  <si>
    <t>Rõuge vald</t>
  </si>
  <si>
    <t>Rõuge vallavalitsus</t>
  </si>
  <si>
    <t>Mõniste vald</t>
  </si>
  <si>
    <t>Mõniste vallavalitsus</t>
  </si>
  <si>
    <t>Misso vald</t>
  </si>
  <si>
    <t>Misso vallavalitsus</t>
  </si>
  <si>
    <t>Meremäe vald</t>
  </si>
  <si>
    <t>Meremäe vallavalitsus</t>
  </si>
  <si>
    <t>Lasva vald</t>
  </si>
  <si>
    <t>Lasva vallavalitsus</t>
  </si>
  <si>
    <t>Haanja vald</t>
  </si>
  <si>
    <t>Haanja vallavalitsus</t>
  </si>
  <si>
    <t>Antsla vald</t>
  </si>
  <si>
    <t>Antsla vallavalitsus</t>
  </si>
  <si>
    <t>Võru linnavalitsus</t>
  </si>
  <si>
    <t>Viljandi vald</t>
  </si>
  <si>
    <t>Viljandi vallavalitsus</t>
  </si>
  <si>
    <t>Tarvastu vald</t>
  </si>
  <si>
    <t>Tarvastu vallavalitsus</t>
  </si>
  <si>
    <t>Suure-Jaani vald</t>
  </si>
  <si>
    <t>Suure-Jaani vallavalitsus</t>
  </si>
  <si>
    <t>Kõpu vald</t>
  </si>
  <si>
    <t>Kõpu vallavalitsus</t>
  </si>
  <si>
    <t>Kõo vald</t>
  </si>
  <si>
    <t>Kõo vallavalitsus</t>
  </si>
  <si>
    <t>Kolga-Jaani vald</t>
  </si>
  <si>
    <t>Kolga-Jaani vallavalitsus</t>
  </si>
  <si>
    <t>Karksi vald</t>
  </si>
  <si>
    <t>Karksi vallavalitsus</t>
  </si>
  <si>
    <t>Halliste vald</t>
  </si>
  <si>
    <t>Halliste vallavalitsus</t>
  </si>
  <si>
    <t>Abja vald</t>
  </si>
  <si>
    <t>Abja vallavalitsus</t>
  </si>
  <si>
    <t>Võhma linn</t>
  </si>
  <si>
    <t>Võhma linnavalitsus</t>
  </si>
  <si>
    <t>Viljandi linnavalitsus</t>
  </si>
  <si>
    <t>Mõisaküla linn</t>
  </si>
  <si>
    <t>Mõisaküla linnavalitsus</t>
  </si>
  <si>
    <t>Õru vald</t>
  </si>
  <si>
    <t>Õru vallavalitsus</t>
  </si>
  <si>
    <t>Tõlliste vald</t>
  </si>
  <si>
    <t>Tõlliste vallavalitsus</t>
  </si>
  <si>
    <t>Taheva vald</t>
  </si>
  <si>
    <t>Taheva vallavalitsus</t>
  </si>
  <si>
    <t>Sangaste vald</t>
  </si>
  <si>
    <t>Sangaste vallavalitsus</t>
  </si>
  <si>
    <t>Põdrala vald</t>
  </si>
  <si>
    <t>Põdrala vallavalitsus</t>
  </si>
  <si>
    <t>Puka vald</t>
  </si>
  <si>
    <t>Puka vallavalitsus</t>
  </si>
  <si>
    <t>Palupera vald</t>
  </si>
  <si>
    <t>Palupera vallavalitsus</t>
  </si>
  <si>
    <t>Otepää vald</t>
  </si>
  <si>
    <t>Otepää vallavalitsus</t>
  </si>
  <si>
    <t>Karula vald</t>
  </si>
  <si>
    <t>Karula vallavalitsus</t>
  </si>
  <si>
    <t>Hummuli vald</t>
  </si>
  <si>
    <t>Hummuli vallavalitsus</t>
  </si>
  <si>
    <t>Helme vald</t>
  </si>
  <si>
    <t>Helme vallavalitsus</t>
  </si>
  <si>
    <t>Valga linn</t>
  </si>
  <si>
    <t>Valga linnavalitsus</t>
  </si>
  <si>
    <t>Tõrva linn</t>
  </si>
  <si>
    <t>Tõrva linnavalitsus</t>
  </si>
  <si>
    <t>Ülenurme vald</t>
  </si>
  <si>
    <t>Ülenurme vallavalitsus</t>
  </si>
  <si>
    <t>Võnnu vald</t>
  </si>
  <si>
    <t>Võnnu vallavalitsus</t>
  </si>
  <si>
    <t>Vara vald</t>
  </si>
  <si>
    <t>Vara vallavalitsus</t>
  </si>
  <si>
    <t>Tähtvere vald</t>
  </si>
  <si>
    <t>Tähtvere vallavalitsus</t>
  </si>
  <si>
    <t>Tartu vald</t>
  </si>
  <si>
    <t>Tartu vallavalitsus</t>
  </si>
  <si>
    <t>Rõngu vald</t>
  </si>
  <si>
    <t>Rõngu vallavalitsus</t>
  </si>
  <si>
    <t>Rannu vald</t>
  </si>
  <si>
    <t>Rannu vallavalitsus</t>
  </si>
  <si>
    <t>Puhja vald</t>
  </si>
  <si>
    <t>Puhja vallavalitsus</t>
  </si>
  <si>
    <t>Piirissaare vald</t>
  </si>
  <si>
    <t>Piirissaare vallavalitsus</t>
  </si>
  <si>
    <t>Peipsiääre vald</t>
  </si>
  <si>
    <t>Peipsiääre vallavalitsus</t>
  </si>
  <si>
    <t>Nõo vald</t>
  </si>
  <si>
    <t>Nõo vallavalitsus</t>
  </si>
  <si>
    <t>Mäksa vald</t>
  </si>
  <si>
    <t>Mäksa vallavalitsus</t>
  </si>
  <si>
    <t>Meeksi vald</t>
  </si>
  <si>
    <t>Meeksi vallavalitsus</t>
  </si>
  <si>
    <t>Luunja vald</t>
  </si>
  <si>
    <t>Luunja vallavalitsus</t>
  </si>
  <si>
    <t>Laeva vald</t>
  </si>
  <si>
    <t>Laeva vallavalitsus</t>
  </si>
  <si>
    <t>Konguta vald</t>
  </si>
  <si>
    <t>Konguta vallavalitsus</t>
  </si>
  <si>
    <t>Kambja vald</t>
  </si>
  <si>
    <t>Kambja vallavalitsus</t>
  </si>
  <si>
    <t>Haaslava vald</t>
  </si>
  <si>
    <t>Haaslava vallavalitsus</t>
  </si>
  <si>
    <t>Alatskivi vald</t>
  </si>
  <si>
    <t>Alatskivi vallavalitsus</t>
  </si>
  <si>
    <t>Tartu linnavalitsus</t>
  </si>
  <si>
    <t>Kallaste linn</t>
  </si>
  <si>
    <t>Kallaste linnavalitsus</t>
  </si>
  <si>
    <t>Elva linn</t>
  </si>
  <si>
    <t>Elva linnavalitsus</t>
  </si>
  <si>
    <t>Valjala vald</t>
  </si>
  <si>
    <t>Valjala vallavalitsus</t>
  </si>
  <si>
    <t>Torgu vald</t>
  </si>
  <si>
    <t>Torgu vallavalitsus</t>
  </si>
  <si>
    <t>Salme vald</t>
  </si>
  <si>
    <t>Salme vallavalitsus</t>
  </si>
  <si>
    <t>Ruhnu vald</t>
  </si>
  <si>
    <t>Ruhnu vallavalitsus</t>
  </si>
  <si>
    <t>Pöide vald</t>
  </si>
  <si>
    <t>Pöide vallavalitsus</t>
  </si>
  <si>
    <t>Pihtla vald</t>
  </si>
  <si>
    <t>Pihtla vallavalitsus</t>
  </si>
  <si>
    <t>Orissaare vald</t>
  </si>
  <si>
    <t>Orissaare vallavalitsus</t>
  </si>
  <si>
    <t>Mustjala vald</t>
  </si>
  <si>
    <t>Mustjala vallavalitsus</t>
  </si>
  <si>
    <t>Muhu vald</t>
  </si>
  <si>
    <t>Muhu vallavalitsus</t>
  </si>
  <si>
    <t>Lääne-Saare vald</t>
  </si>
  <si>
    <t>Lääne-Saare vallavalitsus</t>
  </si>
  <si>
    <t>Leisi vald</t>
  </si>
  <si>
    <t>Leisi vallavalitsus</t>
  </si>
  <si>
    <t>Laimjala vald</t>
  </si>
  <si>
    <t>Laimjala vallavalitsus</t>
  </si>
  <si>
    <t>Kihelkonna vald</t>
  </si>
  <si>
    <t>Kihelkonna vallavalitsus</t>
  </si>
  <si>
    <t>Kuressaare linn</t>
  </si>
  <si>
    <t>Kuressaare linnavalitsus</t>
  </si>
  <si>
    <t>Vigala vald</t>
  </si>
  <si>
    <t>Vigala vallavalitsus</t>
  </si>
  <si>
    <t>Rapla vald</t>
  </si>
  <si>
    <t>Rapla vallavalitsus</t>
  </si>
  <si>
    <t>Raikküla vald</t>
  </si>
  <si>
    <t>Raikküla vallavalitsus</t>
  </si>
  <si>
    <t>Märjamaa vald</t>
  </si>
  <si>
    <t>Märjamaa vallavalitsus</t>
  </si>
  <si>
    <t>Käru vald</t>
  </si>
  <si>
    <t>Käru vallavalitsus</t>
  </si>
  <si>
    <t>Kohila vald</t>
  </si>
  <si>
    <t>Kohila vallavalitsus</t>
  </si>
  <si>
    <t>Kehtna vald</t>
  </si>
  <si>
    <t>Kehtna vallavalitsus</t>
  </si>
  <si>
    <t>Kaiu vald</t>
  </si>
  <si>
    <t>Kaiu vallavalitsus</t>
  </si>
  <si>
    <t>Järvakandi vald</t>
  </si>
  <si>
    <t>Järvakandi vallavalitsus</t>
  </si>
  <si>
    <t>Juuru vald</t>
  </si>
  <si>
    <t>Juuru vallavalitsus</t>
  </si>
  <si>
    <t>Vändra vald</t>
  </si>
  <si>
    <t>Vändra vallavalitsus</t>
  </si>
  <si>
    <t>Vändra alev</t>
  </si>
  <si>
    <t>Vändra alevivalitsus</t>
  </si>
  <si>
    <t>Varbla vald</t>
  </si>
  <si>
    <t>Varbla vallavalitsus</t>
  </si>
  <si>
    <t>Tõstamaa vald</t>
  </si>
  <si>
    <t>Tõstamaa vallavalitsus</t>
  </si>
  <si>
    <t>Tori vald</t>
  </si>
  <si>
    <t>Tori vallavalitsus</t>
  </si>
  <si>
    <t>Tootsi vald</t>
  </si>
  <si>
    <t>Tootsi vallavalitsus</t>
  </si>
  <si>
    <t>Tahkuranna vald</t>
  </si>
  <si>
    <t>Tahkuranna vallavalitsus</t>
  </si>
  <si>
    <t>Surju vald</t>
  </si>
  <si>
    <t>Surju vallavalitsus</t>
  </si>
  <si>
    <t>Sauga vald</t>
  </si>
  <si>
    <t>Sauga vallavalitsus</t>
  </si>
  <si>
    <t>Saarde vald</t>
  </si>
  <si>
    <t>Saarde vallavalitsus</t>
  </si>
  <si>
    <t>Paikuse vald</t>
  </si>
  <si>
    <t>Paikuse vallavalitsus</t>
  </si>
  <si>
    <t>Koonga vald</t>
  </si>
  <si>
    <t>Koonga vallavalitsus</t>
  </si>
  <si>
    <t>Kihnu vald</t>
  </si>
  <si>
    <t>Kihnu vallavalitsus</t>
  </si>
  <si>
    <t>Häädemeeste vald</t>
  </si>
  <si>
    <t>Häädemeeste vallavalitsus</t>
  </si>
  <si>
    <t>Halinga vald</t>
  </si>
  <si>
    <t>Halinga vallavalitsus</t>
  </si>
  <si>
    <t>Audru vald</t>
  </si>
  <si>
    <t>Audru vallavalitsus</t>
  </si>
  <si>
    <t>Are vald</t>
  </si>
  <si>
    <t>Are vallavalitsus</t>
  </si>
  <si>
    <t>Sindi linn</t>
  </si>
  <si>
    <t>Sindi linnavalitsus</t>
  </si>
  <si>
    <t>Pärnu linnavalitsus</t>
  </si>
  <si>
    <t>Värska vald</t>
  </si>
  <si>
    <t>Värska vallavalitsus</t>
  </si>
  <si>
    <t>Veriora vald</t>
  </si>
  <si>
    <t>Veriora vallavalitsus</t>
  </si>
  <si>
    <t>Vastse-Kuuste vald</t>
  </si>
  <si>
    <t>Vastse-Kuuste vallavalitsus</t>
  </si>
  <si>
    <t>Valgjärve vald</t>
  </si>
  <si>
    <t>Valgjärve vallavalitsus</t>
  </si>
  <si>
    <t>Räpina vald</t>
  </si>
  <si>
    <t>Räpina vallavalitsus</t>
  </si>
  <si>
    <t>Põlva vald</t>
  </si>
  <si>
    <t>Põlva vallavalitsus</t>
  </si>
  <si>
    <t>Orava vald</t>
  </si>
  <si>
    <t>Orava vallavalitsus</t>
  </si>
  <si>
    <t>Mooste vald</t>
  </si>
  <si>
    <t>Mooste vallavalitsus</t>
  </si>
  <si>
    <t>Mikitamäe vald</t>
  </si>
  <si>
    <t>Mikitamäe vallavalitsus</t>
  </si>
  <si>
    <t>Laheda vald</t>
  </si>
  <si>
    <t>Laheda vallavalitsus</t>
  </si>
  <si>
    <t>Kõlleste vald</t>
  </si>
  <si>
    <t>Kõlleste vallavalitsus</t>
  </si>
  <si>
    <t>Kanepi vald</t>
  </si>
  <si>
    <t>Kanepi vallavalitsus</t>
  </si>
  <si>
    <t>Ahja vald</t>
  </si>
  <si>
    <t>Ahja vallavalitsus</t>
  </si>
  <si>
    <t>Väike-Maarja vald</t>
  </si>
  <si>
    <t>Väike-Maarja vallavalitsus</t>
  </si>
  <si>
    <t>Viru-Nigula vald</t>
  </si>
  <si>
    <t>Viru-Nigula vallavalitsus</t>
  </si>
  <si>
    <t>Vinni vald</t>
  </si>
  <si>
    <t>Vinni vallavalitsus</t>
  </si>
  <si>
    <t>Vihula vald</t>
  </si>
  <si>
    <t>Vihula vallavalitsus</t>
  </si>
  <si>
    <t>Tapa vald</t>
  </si>
  <si>
    <t>Tapa vallavalitsus</t>
  </si>
  <si>
    <t>Tamsalu vald</t>
  </si>
  <si>
    <t>Tamsalu vallavalitsus</t>
  </si>
  <si>
    <t>Sõmeru vald</t>
  </si>
  <si>
    <t>Sõmeru vallavalitsus</t>
  </si>
  <si>
    <t>Rägavere vald</t>
  </si>
  <si>
    <t>Rägavere vallavalitsus</t>
  </si>
  <si>
    <t>Rakvere vald</t>
  </si>
  <si>
    <t>Rakvere vallavalitsus</t>
  </si>
  <si>
    <t>Rakke vald</t>
  </si>
  <si>
    <t>Rakke vallavalitsus</t>
  </si>
  <si>
    <t>Laekvere vald</t>
  </si>
  <si>
    <t>Laekvere vallavalitsus</t>
  </si>
  <si>
    <t>Kadrina vald</t>
  </si>
  <si>
    <t>Kadrina vallavalitsus</t>
  </si>
  <si>
    <t>Haljala vald</t>
  </si>
  <si>
    <t>Haljala vallavalitsus</t>
  </si>
  <si>
    <t>Rakvere linnavalitsus</t>
  </si>
  <si>
    <t>Kunda linn</t>
  </si>
  <si>
    <t>Kunda linnavalitsus</t>
  </si>
  <si>
    <t>Vormsi vald</t>
  </si>
  <si>
    <t>Vormsi vallavalitsus</t>
  </si>
  <si>
    <t>Ridala vald</t>
  </si>
  <si>
    <t>Ridala vallavalitsus</t>
  </si>
  <si>
    <t>Lääne-Nigula vald</t>
  </si>
  <si>
    <t>Lääne-Nigula vallavalitsus</t>
  </si>
  <si>
    <t>Nõva vald</t>
  </si>
  <si>
    <t>Nõva vallavalitsus</t>
  </si>
  <si>
    <t>Noarootsi vald</t>
  </si>
  <si>
    <t>Noarootsi vallavalitsus</t>
  </si>
  <si>
    <t>Martna vald</t>
  </si>
  <si>
    <t>Martna vallavalitsus</t>
  </si>
  <si>
    <t>Lihula vald</t>
  </si>
  <si>
    <t>Lihula vallavalitsus</t>
  </si>
  <si>
    <t>Kullamaa vald</t>
  </si>
  <si>
    <t>Kullamaa vallavalitsus</t>
  </si>
  <si>
    <t>Hanila vald</t>
  </si>
  <si>
    <t>Hanila vallavalitsus</t>
  </si>
  <si>
    <t>Haapsalu linnavalitsus</t>
  </si>
  <si>
    <t>Väätsa vald</t>
  </si>
  <si>
    <t>Väätsa vallavalitsus</t>
  </si>
  <si>
    <t>Türi vald</t>
  </si>
  <si>
    <t>Türi vallavalitsus</t>
  </si>
  <si>
    <t>Roosna-Alliku vald</t>
  </si>
  <si>
    <t>Roosna-Alliku vallavalitsus</t>
  </si>
  <si>
    <t>Paide vald</t>
  </si>
  <si>
    <t>Paide vallavalitsus</t>
  </si>
  <si>
    <t>Koigi vald</t>
  </si>
  <si>
    <t>Koigi vallavalitsus</t>
  </si>
  <si>
    <t>Koeru vald</t>
  </si>
  <si>
    <t>Koeru vallavalitsus</t>
  </si>
  <si>
    <t>Kareda vald</t>
  </si>
  <si>
    <t>Kareda vallavalitsus</t>
  </si>
  <si>
    <t>Järva-Jaani vald</t>
  </si>
  <si>
    <t>Järva-Jaani vallavalitsus</t>
  </si>
  <si>
    <t>Imavere vald</t>
  </si>
  <si>
    <t>Imavere vallavalitsus</t>
  </si>
  <si>
    <t>Ambla vald</t>
  </si>
  <si>
    <t>Ambla vallavalitsus</t>
  </si>
  <si>
    <t>Albu vald</t>
  </si>
  <si>
    <t>Albu vallavalitsus</t>
  </si>
  <si>
    <t>Paide linnavalitsus</t>
  </si>
  <si>
    <t>Torma vald</t>
  </si>
  <si>
    <t>Torma vallavalitsus</t>
  </si>
  <si>
    <t>Tabivere vald</t>
  </si>
  <si>
    <t>Tabivere vallavalitsus</t>
  </si>
  <si>
    <t>Saare vald</t>
  </si>
  <si>
    <t>Saare vallavalitsus</t>
  </si>
  <si>
    <t>Põltsamaa vald</t>
  </si>
  <si>
    <t>Põltsamaa vallavalitsus</t>
  </si>
  <si>
    <t>Puurmani vald</t>
  </si>
  <si>
    <t>Puurmani vallavalitsus</t>
  </si>
  <si>
    <t>Palamuse vald</t>
  </si>
  <si>
    <t>Palamuse vallavalitsus</t>
  </si>
  <si>
    <t>Pala vald</t>
  </si>
  <si>
    <t>Pala vallavalitsus</t>
  </si>
  <si>
    <t>Pajusi vald</t>
  </si>
  <si>
    <t>Pajusi vallavalitsus</t>
  </si>
  <si>
    <t>Kasepää vald</t>
  </si>
  <si>
    <t>Kasepää vallavalitsus</t>
  </si>
  <si>
    <t>Jõgeva vald</t>
  </si>
  <si>
    <t>Jõgeva vallavalitsus</t>
  </si>
  <si>
    <t>Põltsamaa linn</t>
  </si>
  <si>
    <t>Põltsamaa linnavalitsus</t>
  </si>
  <si>
    <t>Mustvee linn</t>
  </si>
  <si>
    <t>Mustvee linnavalitsus</t>
  </si>
  <si>
    <t>Jõgeva linn</t>
  </si>
  <si>
    <t>Jõgeva linnavalitsus</t>
  </si>
  <si>
    <t>Vaivara vald</t>
  </si>
  <si>
    <t>Vaivara vallavalitsus</t>
  </si>
  <si>
    <t>Tudulinna vald</t>
  </si>
  <si>
    <t>Tudulinna vallavalitsus</t>
  </si>
  <si>
    <t>Toila vallavalitsus</t>
  </si>
  <si>
    <t>Sonda vald</t>
  </si>
  <si>
    <t>Sonda vallavalitsus</t>
  </si>
  <si>
    <t>Mäetaguse vald</t>
  </si>
  <si>
    <t>Mäetaguse vallavalitsus</t>
  </si>
  <si>
    <t>Lüganuse vald</t>
  </si>
  <si>
    <t>Lüganuse vallavalitsus</t>
  </si>
  <si>
    <t>Lohusuu vald</t>
  </si>
  <si>
    <t>Lohusuu vallavalitsus</t>
  </si>
  <si>
    <t>Kohtla-Nõmme vald</t>
  </si>
  <si>
    <t>Kohtla-Nõmme vallavalitsus</t>
  </si>
  <si>
    <t>Kohtla vald</t>
  </si>
  <si>
    <t>Kohtla vallavalitsus</t>
  </si>
  <si>
    <t>Jõhvi vald</t>
  </si>
  <si>
    <t>Jõhvi vallavalitsus</t>
  </si>
  <si>
    <t>Illuka vald</t>
  </si>
  <si>
    <t>Illuka vallavalitsus</t>
  </si>
  <si>
    <t>Iisaku vald</t>
  </si>
  <si>
    <t>Iisaku vallavalitsus</t>
  </si>
  <si>
    <t>Avinurme vald</t>
  </si>
  <si>
    <t>Avinurme vallavalitsus</t>
  </si>
  <si>
    <t>Aseri vald</t>
  </si>
  <si>
    <t>Aseri vallavalitsus</t>
  </si>
  <si>
    <t>Alajõe vald</t>
  </si>
  <si>
    <t>Alajõe vallavalitsus</t>
  </si>
  <si>
    <t>Sillamäe linnavalitsus</t>
  </si>
  <si>
    <t>Narva-Jõesuu linnavalitsus</t>
  </si>
  <si>
    <t>Narva linnavalitsus</t>
  </si>
  <si>
    <t>Kohtla-Järve linnavalitsus</t>
  </si>
  <si>
    <t>Kiviõli linn</t>
  </si>
  <si>
    <t>Kiviõli linnavalitsus</t>
  </si>
  <si>
    <t>Pühalepa vald</t>
  </si>
  <si>
    <t>Pühalepa vallavalitsus</t>
  </si>
  <si>
    <t>Käina vald</t>
  </si>
  <si>
    <t>Käina vallavalitsus</t>
  </si>
  <si>
    <t>Emmaste vald</t>
  </si>
  <si>
    <t>Emmaste vallavalitsus</t>
  </si>
  <si>
    <t>Hiiu vald</t>
  </si>
  <si>
    <t>Hiiu vallavalitsus</t>
  </si>
  <si>
    <t>Viimsi vald</t>
  </si>
  <si>
    <t>Viimsi vallavalitsus</t>
  </si>
  <si>
    <t>Vasalemma vald</t>
  </si>
  <si>
    <t>Vasalemma vallavalitsus</t>
  </si>
  <si>
    <t>Saue vald</t>
  </si>
  <si>
    <t>Saue vallavalitsus</t>
  </si>
  <si>
    <t>Saku vald</t>
  </si>
  <si>
    <t>Saku vallavalitsus</t>
  </si>
  <si>
    <t>Rae vald</t>
  </si>
  <si>
    <t>Rae vallavalitsus</t>
  </si>
  <si>
    <t>Raasiku vald</t>
  </si>
  <si>
    <t>Raasiku vallavalitsus</t>
  </si>
  <si>
    <t>Padise vald</t>
  </si>
  <si>
    <t>Padise vallavalitsus</t>
  </si>
  <si>
    <t>Nissi vald</t>
  </si>
  <si>
    <t>Nissi vallavalitsus</t>
  </si>
  <si>
    <t>Kuusalu vald</t>
  </si>
  <si>
    <t>Kuusalu vallavalitsus</t>
  </si>
  <si>
    <t>Kose vald</t>
  </si>
  <si>
    <t>Kose vallavalitsus</t>
  </si>
  <si>
    <t>Kiili vald</t>
  </si>
  <si>
    <t>Kiili vallavalitsus</t>
  </si>
  <si>
    <t>Kernu vald</t>
  </si>
  <si>
    <t>Kernu vallavalitsus</t>
  </si>
  <si>
    <t>Keila vald</t>
  </si>
  <si>
    <t>Keila vallavalitsus</t>
  </si>
  <si>
    <t>Jõelähtme vald</t>
  </si>
  <si>
    <t>Jõelähtme vallavalitsus</t>
  </si>
  <si>
    <t>Harku vald</t>
  </si>
  <si>
    <t>Harku vallavalitsus</t>
  </si>
  <si>
    <t>Anija vald</t>
  </si>
  <si>
    <t>Anija vallavalitsus</t>
  </si>
  <si>
    <t>Aegviidu vald</t>
  </si>
  <si>
    <t>Aegviidu vallavalitsus</t>
  </si>
  <si>
    <t>Saue linn</t>
  </si>
  <si>
    <t>Saue linnavalitsus</t>
  </si>
  <si>
    <t>Paldiski linn</t>
  </si>
  <si>
    <t>Paldiski linnavalitsus</t>
  </si>
  <si>
    <t>Maardu linnavalitsus</t>
  </si>
  <si>
    <t>Loksa linnavalitsus</t>
  </si>
  <si>
    <t>Keila linnavalitsus</t>
  </si>
  <si>
    <t>Tallinna linnavalitsus</t>
  </si>
  <si>
    <t>Rahvaarv KOKKU</t>
  </si>
  <si>
    <t>tööealised 19-64</t>
  </si>
  <si>
    <t>lapsed 7-15</t>
  </si>
  <si>
    <t>lapsed 7-18</t>
  </si>
  <si>
    <t>lapsed 0-6</t>
  </si>
  <si>
    <t>Arvestuslikud kulud KOKKU</t>
  </si>
  <si>
    <t>Tasandusfond</t>
  </si>
  <si>
    <t>ARVESTUSLIKUD TULUD (AT)</t>
  </si>
  <si>
    <t>Kohalik omavalitsus</t>
  </si>
  <si>
    <t>Maakond</t>
  </si>
  <si>
    <t>KOKKU</t>
  </si>
  <si>
    <t>Peipsiääre</t>
  </si>
  <si>
    <t>Tagamaalisuse koefitsient kooliealised</t>
  </si>
  <si>
    <t>%</t>
  </si>
  <si>
    <t>Parameetrite väärtused</t>
  </si>
  <si>
    <t>Veetee pikkus, km</t>
  </si>
  <si>
    <t>Arvestuslik tasandus</t>
  </si>
  <si>
    <t>Väikesaared</t>
  </si>
  <si>
    <t>väikesaare elanik</t>
  </si>
  <si>
    <t>väikesaare veetee pikkus</t>
  </si>
  <si>
    <t>väikesaare baastoetus</t>
  </si>
  <si>
    <t>Kaevandamisõiguse tasude muutmise kompensatsioon</t>
  </si>
  <si>
    <t>Ühinemisest tingitud mõjude katmine (2018-2025)</t>
  </si>
  <si>
    <t>ARVESTUSLIKUD KULUD (AK)</t>
  </si>
  <si>
    <t>koefitsient</t>
  </si>
  <si>
    <t>Asenduskodus</t>
  </si>
  <si>
    <t>Hooldusperes</t>
  </si>
  <si>
    <t>Perekodu</t>
  </si>
  <si>
    <t>Järelhooldus</t>
  </si>
  <si>
    <t>jääk</t>
  </si>
  <si>
    <t>Tööealised 19-64</t>
  </si>
  <si>
    <t>Kulud</t>
  </si>
  <si>
    <t>Muutus</t>
  </si>
  <si>
    <t>Jääk</t>
  </si>
  <si>
    <t>Uus nimi</t>
  </si>
  <si>
    <t>Toetus I, 90% vahenditest</t>
  </si>
  <si>
    <t>Toetus II</t>
  </si>
  <si>
    <t>Tasandus-fondi jaotus</t>
  </si>
  <si>
    <t>Üldhariduskoolide pidamiseks antav toetus</t>
  </si>
  <si>
    <t>Toimetuleku-toetuse maksmise hüvitis</t>
  </si>
  <si>
    <t>Kohalike teede hoiu toetus</t>
  </si>
  <si>
    <t>Toetus KOKKU</t>
  </si>
  <si>
    <t>sh põhikooli õpetajate tööjõukuludeks</t>
  </si>
  <si>
    <t>sh gümnaasiumi õpetajate tööjõukuludeks</t>
  </si>
  <si>
    <t>sh direktorite ja õppealajuhatajate tööjõukuludeks</t>
  </si>
  <si>
    <t>sh õpetajate, direktorite ja õppealajuhatajate täiendus-koolituseks</t>
  </si>
  <si>
    <t>sh õppekirjanduseks</t>
  </si>
  <si>
    <t>sh koolilõunaks</t>
  </si>
  <si>
    <t>Huvihariduse ja -tegevuse toetus</t>
  </si>
  <si>
    <t>Koolieelsete lasteasutuste õpetajate tööjõukulude toetus</t>
  </si>
  <si>
    <t>Rahvastikutoimingute kulude hüvitis</t>
  </si>
  <si>
    <t>eakad 65-…</t>
  </si>
  <si>
    <t>jah</t>
  </si>
  <si>
    <t>Sünnid</t>
  </si>
  <si>
    <t>Surmad</t>
  </si>
  <si>
    <t>IK EL</t>
  </si>
  <si>
    <t>Isadus</t>
  </si>
  <si>
    <t>Abielu</t>
  </si>
  <si>
    <t>Lahutus</t>
  </si>
  <si>
    <t>Nime muutus</t>
  </si>
  <si>
    <t>Soo muutus</t>
  </si>
  <si>
    <t>Vaimulike juhendamine</t>
  </si>
  <si>
    <t>muutus</t>
  </si>
  <si>
    <t>maanteed</t>
  </si>
  <si>
    <t>tänavad</t>
  </si>
  <si>
    <t>kaalutud pikkus</t>
  </si>
  <si>
    <t>määr per km</t>
  </si>
  <si>
    <t>raske</t>
  </si>
  <si>
    <t>sügav</t>
  </si>
  <si>
    <t>sügava ja raske puudega laste määra suhtarv</t>
  </si>
  <si>
    <t>EELARVE KOKKU</t>
  </si>
  <si>
    <t>RESERV/JAOTAMATA</t>
  </si>
  <si>
    <t>Asendus- ja järelhooldus-teenuse toetus</t>
  </si>
  <si>
    <t>Matuse-toetus</t>
  </si>
  <si>
    <t>Finantsvõimekus</t>
  </si>
  <si>
    <t>Sotsiaal-majandusliku kättesaadavuse tagamise toetus arvestatud tegurite lõikes (eurodes)</t>
  </si>
  <si>
    <t>Mitmekesisuse tagamise toetus väikese noorte arvuga ja hõreasutusega piirkondades arvestatud tegurite lõikes (eurodes)</t>
  </si>
  <si>
    <t>Toimetulekuraskustes peredes elavate 7–19-aastaste noorte arv</t>
  </si>
  <si>
    <t>7–19-aastaste noorte arv</t>
  </si>
  <si>
    <t>7–19-aastaste puudega noorte arv</t>
  </si>
  <si>
    <t>7–19 noorte arv</t>
  </si>
  <si>
    <t>Tulumaks</t>
  </si>
  <si>
    <t>Määratud maamaks</t>
  </si>
  <si>
    <t>elaniku kohta</t>
  </si>
  <si>
    <t>Lapsepõhine toetus</t>
  </si>
  <si>
    <t>Tallinna linn</t>
  </si>
  <si>
    <t>toetus per laps</t>
  </si>
  <si>
    <t>sh tõhustatud ja eritoe tegevuskuludeks</t>
  </si>
  <si>
    <t>Õpilaste arv</t>
  </si>
  <si>
    <t>Hiiumaa vald</t>
  </si>
  <si>
    <t>Alutaguse vald</t>
  </si>
  <si>
    <t>Mustvee vald</t>
  </si>
  <si>
    <t>Järva vald</t>
  </si>
  <si>
    <t>Lääneranna vald</t>
  </si>
  <si>
    <t>Põhja-Pärnumaa vald</t>
  </si>
  <si>
    <t>Saaremaa vald</t>
  </si>
  <si>
    <t>Elva vald</t>
  </si>
  <si>
    <t>Kastre vald</t>
  </si>
  <si>
    <t>Tõrva vald</t>
  </si>
  <si>
    <t>Valga vald</t>
  </si>
  <si>
    <t>Mulgi vald</t>
  </si>
  <si>
    <t>Põhja-Sakala vald</t>
  </si>
  <si>
    <t>Setomaa vald</t>
  </si>
  <si>
    <t>Lääne-Harju vald</t>
  </si>
  <si>
    <t>Õpetaja tööjõukulud</t>
  </si>
  <si>
    <t>Direktorite ja õppealajuhatajate tööjõukulud</t>
  </si>
  <si>
    <t>Täienduskoolitus</t>
  </si>
  <si>
    <t>Õppevahendid</t>
  </si>
  <si>
    <t>Koolilõuna</t>
  </si>
  <si>
    <t>Toetusmäärad (eurodes)</t>
  </si>
  <si>
    <t>HEV tegevuskulu toetus</t>
  </si>
  <si>
    <t>Toetus põhikooli õpetaja tööjõukuludeks</t>
  </si>
  <si>
    <t>Tavaõpe</t>
  </si>
  <si>
    <t>Toetus</t>
  </si>
  <si>
    <t>Tava</t>
  </si>
  <si>
    <t>PK</t>
  </si>
  <si>
    <t>G</t>
  </si>
  <si>
    <t>koefitsient PK</t>
  </si>
  <si>
    <t>Tõhustatud tugi</t>
  </si>
  <si>
    <t>Eritugi</t>
  </si>
  <si>
    <t>HEV</t>
  </si>
  <si>
    <t>Koduõpe lapse-vanema soovil</t>
  </si>
  <si>
    <t>Mittestatsionaarne PK</t>
  </si>
  <si>
    <t>Ekstern</t>
  </si>
  <si>
    <t>Mittestatsionaarne G</t>
  </si>
  <si>
    <t>Üksikaine kursusi</t>
  </si>
  <si>
    <t>Mitte-statsionaarne</t>
  </si>
  <si>
    <t>Väike G lisa</t>
  </si>
  <si>
    <t>Üksik-ained</t>
  </si>
  <si>
    <t>Väike gümnaasiumi lisa koefitsient</t>
  </si>
  <si>
    <t>Toetus 2014 juhtimis-kuludeks</t>
  </si>
  <si>
    <t>Toetus 2014 täienduskoolitus</t>
  </si>
  <si>
    <t>KÕP PK</t>
  </si>
  <si>
    <t>KÕP G</t>
  </si>
  <si>
    <t>sh mittestatsionaarne</t>
  </si>
  <si>
    <t>tõhustatud tugi PK</t>
  </si>
  <si>
    <t>tõhustatud tugi G</t>
  </si>
  <si>
    <t>eritugi</t>
  </si>
  <si>
    <t>Väikesaarte lisa</t>
  </si>
  <si>
    <t>HEV rahastuse muutuse tasandus</t>
  </si>
  <si>
    <t>Õpilase kohta toetuse säilitamine</t>
  </si>
  <si>
    <t>Toetus gümnaasiumi õpetaja tööjõukuludeks</t>
  </si>
  <si>
    <t>Õppe-kirjandus</t>
  </si>
  <si>
    <t>Täiendus-koolitus</t>
  </si>
  <si>
    <t>Direktori ja õppeala-juhataja tööjõukulud</t>
  </si>
  <si>
    <t>Tõhustatud ja eritoe tegevustoetus</t>
  </si>
  <si>
    <t>Tegevusala</t>
  </si>
  <si>
    <t>01800</t>
  </si>
  <si>
    <t>09800</t>
  </si>
  <si>
    <t>09110</t>
  </si>
  <si>
    <t>09510</t>
  </si>
  <si>
    <t>04510</t>
  </si>
  <si>
    <t>Vene koolide 60/40 õppe lisa</t>
  </si>
  <si>
    <t>Saar</t>
  </si>
  <si>
    <t>Abruka</t>
  </si>
  <si>
    <t>Manilaid</t>
  </si>
  <si>
    <t>Piirissaare</t>
  </si>
  <si>
    <t>Kessulaiu</t>
  </si>
  <si>
    <t>Kõinastu</t>
  </si>
  <si>
    <t>Prangli</t>
  </si>
  <si>
    <t>Vilsandi</t>
  </si>
  <si>
    <t>Väike-Pakri</t>
  </si>
  <si>
    <t>Kräsuli</t>
  </si>
  <si>
    <t>Aegna</t>
  </si>
  <si>
    <t>Naissaar</t>
  </si>
  <si>
    <t>Veetee pikkus (km)</t>
  </si>
  <si>
    <t>Baastoetus</t>
  </si>
  <si>
    <t>koefitsient G</t>
  </si>
  <si>
    <t>Eakad 65+</t>
  </si>
  <si>
    <t>Toila</t>
  </si>
  <si>
    <t>kaalud:</t>
  </si>
  <si>
    <t>Korduva tõendi väljastamine</t>
  </si>
  <si>
    <t>IK andmekogu</t>
  </si>
  <si>
    <t>eakas (65 ja üle)</t>
  </si>
  <si>
    <t>0-6-aastane</t>
  </si>
  <si>
    <t>7-18-aastane muu</t>
  </si>
  <si>
    <t>7-15-aastane ujumine</t>
  </si>
  <si>
    <t>Õpetajate tööjõukulu</t>
  </si>
  <si>
    <t>Direktorite ja õppealajuhatajate tööjõukulu</t>
  </si>
  <si>
    <t>Õppekirjandus</t>
  </si>
  <si>
    <t>Tõhustatud ja eritoe tegevuskulu</t>
  </si>
  <si>
    <t>sh MK KOV</t>
  </si>
  <si>
    <t>I kv</t>
  </si>
  <si>
    <t>II kv</t>
  </si>
  <si>
    <t>III kv</t>
  </si>
  <si>
    <t>IV kv</t>
  </si>
  <si>
    <t>Ülekandmine</t>
  </si>
  <si>
    <t>Toetusfondi jaotus</t>
  </si>
  <si>
    <t>Seisuga</t>
  </si>
  <si>
    <t>Koduõpe lapsevanema soovil</t>
  </si>
  <si>
    <t>Täiendav koefitsient</t>
  </si>
  <si>
    <t>Väikegümnaasiumi lisakoefitsient</t>
  </si>
  <si>
    <t>Õpetaja töötasu alammäär 90% õpetaja alammäärast (magistril 100%)</t>
  </si>
  <si>
    <t>Tasandustoetus</t>
  </si>
  <si>
    <t>TM määrad</t>
  </si>
  <si>
    <t>Tasakaal</t>
  </si>
  <si>
    <t>väärtused</t>
  </si>
  <si>
    <t>sh kool</t>
  </si>
  <si>
    <t>0-6. aastased</t>
  </si>
  <si>
    <t>infl kasv</t>
  </si>
  <si>
    <t>7-15. aastased</t>
  </si>
  <si>
    <t>16-18. aastased</t>
  </si>
  <si>
    <t>tööealised</t>
  </si>
  <si>
    <t>eakad</t>
  </si>
  <si>
    <t>hooldatavad täiskasvanud</t>
  </si>
  <si>
    <t>hooldatavad lapsed</t>
  </si>
  <si>
    <t>Muutused 2019</t>
  </si>
  <si>
    <t>*maamaks max määrades</t>
  </si>
  <si>
    <t>*tagamaalisuse koefitsientide arvestus 25%-lt 50%-le</t>
  </si>
  <si>
    <t>*teede parameeter kaotatakse</t>
  </si>
  <si>
    <t>*hooldatavate parameetrid arvestatakse 85% asemel 70%</t>
  </si>
  <si>
    <t>*lisandub hooldekodudes olevate inimeste arv</t>
  </si>
  <si>
    <t>Muutused 2020</t>
  </si>
  <si>
    <t>*tagamaalisuse koefitsientide arvestus 50%-lt 75%-le</t>
  </si>
  <si>
    <t>*lisandub lapsega hooldatava parameeter, mis on 2018.a tasemel ja hakkab iga aasta vähenema 15 protsendipunkti võrra</t>
  </si>
  <si>
    <t>Hooldatavate ja hooldajateenusele suunatud täiskasvanute arv (2006-2008 keskmine)</t>
  </si>
  <si>
    <t>Üldhooldekodude eritoetus</t>
  </si>
  <si>
    <t>Täiendav koolitus</t>
  </si>
  <si>
    <t>Parandamine</t>
  </si>
  <si>
    <t>2018.a andmed</t>
  </si>
  <si>
    <t>2017.a andmed</t>
  </si>
  <si>
    <t>7-15-aastane põhiharidus</t>
  </si>
  <si>
    <t>asenduskodu</t>
  </si>
  <si>
    <t>hoolduspere</t>
  </si>
  <si>
    <t>perekodu</t>
  </si>
  <si>
    <t>järelhooldus</t>
  </si>
  <si>
    <t>alammäär:</t>
  </si>
  <si>
    <t>Vahendite jääk</t>
  </si>
  <si>
    <t>lisandunud vahendid</t>
  </si>
  <si>
    <t>tugiteenuste lisa</t>
  </si>
  <si>
    <t>jäätmed ja sotsiaalteenused</t>
  </si>
  <si>
    <t>Kohalik omavalitsus (lühinimi)</t>
  </si>
  <si>
    <t>ei</t>
  </si>
  <si>
    <t>Miinuste kontroll</t>
  </si>
  <si>
    <t>Heinlaiu</t>
  </si>
  <si>
    <t>2019.a andmed</t>
  </si>
  <si>
    <t>Välisriigi dokumentide andmehõivekanded</t>
  </si>
  <si>
    <t>Õigustatud huvi korral andmete ja dokumentide väljastamine</t>
  </si>
  <si>
    <t>Arhiivsete aktide andmehõive-kanded</t>
  </si>
  <si>
    <t>Kohtu-otsuste andmehõive-kanded</t>
  </si>
  <si>
    <t>Tava G</t>
  </si>
  <si>
    <t>2020.a andmed</t>
  </si>
  <si>
    <t>arv</t>
  </si>
  <si>
    <t>miinuseid:</t>
  </si>
  <si>
    <t>Tööjõukulu õpilase kohta 2022</t>
  </si>
  <si>
    <t>Kultuuriranits</t>
  </si>
  <si>
    <t>Kultuuri-ranits</t>
  </si>
  <si>
    <t>sh kultuuri-ranits</t>
  </si>
  <si>
    <t>Toetus 2022</t>
  </si>
  <si>
    <t>Üle antud endiste riigiteede toetus</t>
  </si>
  <si>
    <t>Toimetulekutoetuse maksmise hüvitis 2022</t>
  </si>
  <si>
    <t>Toimetuleku-toetuse maksmise korraldamise hüvitis 2022</t>
  </si>
  <si>
    <t>KOKKU 2022</t>
  </si>
  <si>
    <t>Matuse-toetus 2022</t>
  </si>
  <si>
    <t>Hüvitis 2022</t>
  </si>
  <si>
    <t>ÜLDTOETUS KOKKU 2022</t>
  </si>
  <si>
    <t>Tulumaks tegelik</t>
  </si>
  <si>
    <t>Elanike arv s. 01.01.2022</t>
  </si>
  <si>
    <t>Kohaliku omavalitsuse üksus</t>
  </si>
  <si>
    <t>Sõidutee, km</t>
  </si>
  <si>
    <t>Omaette kergliiklustee, km</t>
  </si>
  <si>
    <t>Kokku</t>
  </si>
  <si>
    <t>sh kattega tänav kõnniteedega</t>
  </si>
  <si>
    <t>sh  kattega maantee</t>
  </si>
  <si>
    <t>sh kruusatee</t>
  </si>
  <si>
    <t xml:space="preserve">Tori vald </t>
  </si>
  <si>
    <t>2021.a andmed</t>
  </si>
  <si>
    <t>7–19-aastaste noorte arv 2022</t>
  </si>
  <si>
    <t xml:space="preserve"> Isikukoodi andmiseks dokumentide vastuvõtmine</t>
  </si>
  <si>
    <t>Isikukoodi andmisel selle moodustamine</t>
  </si>
  <si>
    <t>Välisriigi dokumentide andmehõive-kanded</t>
  </si>
  <si>
    <t>Toetus 2023 KOKKU</t>
  </si>
  <si>
    <t>Tööjõukulu õpilase kohta 2023</t>
  </si>
  <si>
    <t>2023 RE</t>
  </si>
  <si>
    <t>Toetus 2023</t>
  </si>
  <si>
    <t>Toetuse arvestus 2023</t>
  </si>
  <si>
    <t>Registreeritud juhtumid 2022</t>
  </si>
  <si>
    <t>Pikaajalise hoolduse korralduse toetus</t>
  </si>
  <si>
    <t>Lasteaialaste arv  KOV+ERA (10.11.2022 EHIS, elukohajärgselt)</t>
  </si>
  <si>
    <t>Toimetulekutoetuse maksmise hüvitis 2023</t>
  </si>
  <si>
    <t>Toimetuleku-toetuse maksmise korraldamise hüvitis 2023</t>
  </si>
  <si>
    <t>KOKKU HÜVITIS 2023</t>
  </si>
  <si>
    <t>sh hüvitatud 2022</t>
  </si>
  <si>
    <t>2022.a vahendite jääk</t>
  </si>
  <si>
    <t>Hooldusteenusel s. 01.12.2022</t>
  </si>
  <si>
    <t>Hooldusteenusel s. 01.06.2023</t>
  </si>
  <si>
    <t>KOKKU 2023</t>
  </si>
  <si>
    <t>I jaotus</t>
  </si>
  <si>
    <t>II jaotus</t>
  </si>
  <si>
    <t>Elanike arv 01.01.2023</t>
  </si>
  <si>
    <t>Matuse-toetus 2023</t>
  </si>
  <si>
    <t>Puudega laste arv, kelle osas otsus tehtud hiljemalt 01.11.2022, vanuses 0-17 (1-2 last on näidatud ümardatult, arvutustes on kasutatud tegelikku arvu)</t>
  </si>
  <si>
    <t>Toetuse eelmiste aastate jääk</t>
  </si>
  <si>
    <t>KOKKU KOV-il kasutada 2023</t>
  </si>
  <si>
    <t>2022.a andmed</t>
  </si>
  <si>
    <t xml:space="preserve">Elektroonilise avalduse alusel sündide registreerimine </t>
  </si>
  <si>
    <t xml:space="preserve">Veebikeskkonnast saadud avalduse alusel tõendi väljastamise kulude hüvitis </t>
  </si>
  <si>
    <t>Rahvastikuregistri väljavõtte väljastamine</t>
  </si>
  <si>
    <t>Hüvitis 2023</t>
  </si>
  <si>
    <t>Ette hüvitatud juhtumid 2022. aastal (Ukraina sõjapõgenikud)</t>
  </si>
  <si>
    <t>Üle antud riigiteed</t>
  </si>
  <si>
    <t>Kokku jaotamisel aluseks võetavate teede pikkus</t>
  </si>
  <si>
    <t>Üle antud riigiteede pikkus</t>
  </si>
  <si>
    <t>Üle antud teehoiu toetus 2023</t>
  </si>
  <si>
    <t>Üle antud teehoiu toetus 2022</t>
  </si>
  <si>
    <t>2023RE</t>
  </si>
  <si>
    <r>
      <t>Sild, m</t>
    </r>
    <r>
      <rPr>
        <sz val="11"/>
        <rFont val="Calibri"/>
        <family val="2"/>
        <charset val="186"/>
      </rPr>
      <t>²</t>
    </r>
  </si>
  <si>
    <t>Arvestuslik maamaks 2022 max määradega</t>
  </si>
  <si>
    <t>Arvestuslikud tulud KOKKU</t>
  </si>
  <si>
    <t>Demograafiline struktuur s. 01.01.2023</t>
  </si>
  <si>
    <t>Gümnaasiumi-õpilasi munitsipaal-koolides 2022/2023</t>
  </si>
  <si>
    <t>Puudega hooldatavate laste arv 2022</t>
  </si>
  <si>
    <t>Tulu ja kulutasandus 2023</t>
  </si>
  <si>
    <t>Väikesaare lisa 2023</t>
  </si>
  <si>
    <t>ÜLDTOETUS KOKKU 2023</t>
  </si>
  <si>
    <t>Elanike arv s. 01.01.2023</t>
  </si>
  <si>
    <t>2023.a viimast korda, siis asendab seda pikaajalise hoolduse korraldamise toetus</t>
  </si>
  <si>
    <t>Üldhooldekodus olevate isikud s.  01.01.2023</t>
  </si>
  <si>
    <t>Piirkondliku kättesaadavuse koefitsient 2023</t>
  </si>
  <si>
    <t>Toimetuleku-raskustes peredes elavate 7–19-aastaste noorte arv 2022</t>
  </si>
  <si>
    <t>7–19-aastaste puudega noorte arv 1.11.2022</t>
  </si>
  <si>
    <t>Esitatud toimetuleku-toetuse taotluste arv 2022</t>
  </si>
  <si>
    <t>65-84</t>
  </si>
  <si>
    <t>85+</t>
  </si>
  <si>
    <t>per 65-84</t>
  </si>
  <si>
    <t>per 85+</t>
  </si>
  <si>
    <t>toetus raske puudega lapse kohta</t>
  </si>
  <si>
    <t>toetus sügava puudega lapse kohta</t>
  </si>
  <si>
    <t>KOV osakaal:</t>
  </si>
  <si>
    <t>KOV arv:</t>
  </si>
  <si>
    <t>Tulud 2022</t>
  </si>
  <si>
    <t>Suure hooldus- ja abivajadusega lapsele abi osutamise toetus</t>
  </si>
  <si>
    <t>Puurmanni</t>
  </si>
  <si>
    <t>tasandustoetus 2018-2022</t>
  </si>
  <si>
    <t>Kohalike teede pikkus (km) 2023 kokku</t>
  </si>
  <si>
    <t>2022.a hüvitamata jäänud</t>
  </si>
  <si>
    <t>Kütte ja elektrikulud 11 kuud (käibemaksuta)</t>
  </si>
  <si>
    <t>KOV tulubaas 2022</t>
  </si>
  <si>
    <t>Toetus (eurot)</t>
  </si>
  <si>
    <t>KOV üksus</t>
  </si>
  <si>
    <t>KOV tütar</t>
  </si>
  <si>
    <t>KOV-&gt;tütar</t>
  </si>
  <si>
    <t>Tütar-&gt;KOV</t>
  </si>
  <si>
    <t>Tütar-&gt;tütar</t>
  </si>
  <si>
    <t>Elektri ja küttekulude kasv</t>
  </si>
  <si>
    <t>2021</t>
  </si>
  <si>
    <t>2022 11 k</t>
  </si>
  <si>
    <t>kasv %</t>
  </si>
  <si>
    <t>kasv % tulubaasist</t>
  </si>
  <si>
    <t>kasv üle 0,5% tulubaasist</t>
  </si>
  <si>
    <t>Tasandusfondi tasanduse osa</t>
  </si>
  <si>
    <t>RE</t>
  </si>
  <si>
    <t>Hüvitisvajadus 2023</t>
  </si>
  <si>
    <t>Hüvitatakse 2024</t>
  </si>
  <si>
    <t>Kõrgenenud energiakuludega toime-tulemise toetus</t>
  </si>
  <si>
    <t>sh VV korraldus x.06.2023 nr x</t>
  </si>
  <si>
    <t>Toetus I, 90% vahenditest (ÕIGE)</t>
  </si>
  <si>
    <t>Parandus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</si>
</sst>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"/>
    <numFmt numFmtId="166" formatCode="General_)"/>
    <numFmt numFmtId="167" formatCode="#,##0.000"/>
    <numFmt numFmtId="168" formatCode="#,##0.0"/>
  </numFmts>
  <fonts count="4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8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i/>
      <sz val="10"/>
      <color theme="4"/>
      <name val="Arial"/>
      <family val="2"/>
      <charset val="186"/>
    </font>
    <font>
      <sz val="10"/>
      <name val="Arial"/>
      <family val="2"/>
      <charset val="186"/>
    </font>
    <font>
      <sz val="10"/>
      <color theme="4"/>
      <name val="Arial"/>
      <family val="2"/>
      <charset val="186"/>
    </font>
    <font>
      <i/>
      <sz val="10"/>
      <color theme="3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Arial"/>
      <family val="2"/>
      <charset val="186"/>
    </font>
    <font>
      <i/>
      <sz val="10"/>
      <color theme="4" tint="-0.249977111117893"/>
      <name val="Arial"/>
      <family val="2"/>
      <charset val="186"/>
    </font>
    <font>
      <i/>
      <sz val="10"/>
      <color theme="4" tint="-0.499984740745262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sz val="9"/>
      <name val="Arial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theme="4" tint="-0.249977111117893"/>
      <name val="Arial"/>
      <family val="2"/>
      <charset val="186"/>
    </font>
    <font>
      <sz val="10"/>
      <color rgb="FF0070C0"/>
      <name val="Arial"/>
      <family val="2"/>
      <charset val="186"/>
    </font>
    <font>
      <b/>
      <i/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i/>
      <sz val="10"/>
      <color rgb="FFFF0000"/>
      <name val="Arial"/>
      <family val="2"/>
      <charset val="186"/>
    </font>
    <font>
      <sz val="11"/>
      <name val="Calibri"/>
      <family val="2"/>
      <charset val="186"/>
    </font>
    <font>
      <b/>
      <sz val="16"/>
      <name val="Arial"/>
      <family val="2"/>
      <charset val="186"/>
    </font>
    <font>
      <sz val="10"/>
      <color theme="0"/>
      <name val="Arial"/>
      <family val="2"/>
      <charset val="186"/>
    </font>
    <font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color rgb="FF363636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9"/>
      <color rgb="FF36363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4" fillId="0" borderId="0"/>
    <xf numFmtId="0" fontId="4" fillId="0" borderId="0" applyAlignment="0"/>
    <xf numFmtId="0" fontId="4" fillId="0" borderId="0"/>
    <xf numFmtId="0" fontId="13" fillId="0" borderId="0"/>
    <xf numFmtId="0" fontId="4" fillId="0" borderId="0" applyAlignment="0"/>
    <xf numFmtId="0" fontId="4" fillId="0" borderId="0" applyAlignment="0"/>
    <xf numFmtId="0" fontId="17" fillId="0" borderId="0"/>
    <xf numFmtId="0" fontId="3" fillId="0" borderId="0"/>
    <xf numFmtId="9" fontId="17" fillId="0" borderId="0" applyFont="0" applyFill="0" applyBorder="0" applyAlignment="0" applyProtection="0"/>
    <xf numFmtId="0" fontId="20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3">
    <xf numFmtId="0" fontId="0" fillId="0" borderId="0" xfId="0"/>
    <xf numFmtId="0" fontId="4" fillId="0" borderId="0" xfId="1"/>
    <xf numFmtId="3" fontId="0" fillId="0" borderId="0" xfId="0" applyNumberFormat="1"/>
    <xf numFmtId="3" fontId="5" fillId="0" borderId="1" xfId="1" quotePrefix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3" fontId="4" fillId="0" borderId="0" xfId="1" applyNumberFormat="1"/>
    <xf numFmtId="0" fontId="4" fillId="0" borderId="0" xfId="0" applyFont="1"/>
    <xf numFmtId="0" fontId="4" fillId="0" borderId="1" xfId="1" applyBorder="1"/>
    <xf numFmtId="164" fontId="4" fillId="0" borderId="2" xfId="3" applyNumberFormat="1" applyBorder="1"/>
    <xf numFmtId="0" fontId="4" fillId="0" borderId="1" xfId="1" quotePrefix="1" applyBorder="1"/>
    <xf numFmtId="3" fontId="4" fillId="0" borderId="1" xfId="1" applyNumberFormat="1" applyBorder="1"/>
    <xf numFmtId="165" fontId="7" fillId="0" borderId="1" xfId="1" applyNumberFormat="1" applyFont="1" applyBorder="1" applyAlignment="1">
      <alignment horizontal="center"/>
    </xf>
    <xf numFmtId="166" fontId="5" fillId="2" borderId="1" xfId="1" applyNumberFormat="1" applyFont="1" applyFill="1" applyBorder="1" applyAlignment="1">
      <alignment horizontal="left"/>
    </xf>
    <xf numFmtId="3" fontId="4" fillId="0" borderId="1" xfId="1" applyNumberFormat="1" applyBorder="1" applyAlignment="1">
      <alignment horizontal="right"/>
    </xf>
    <xf numFmtId="166" fontId="5" fillId="0" borderId="1" xfId="1" applyNumberFormat="1" applyFont="1" applyBorder="1" applyAlignment="1">
      <alignment horizontal="left"/>
    </xf>
    <xf numFmtId="166" fontId="5" fillId="0" borderId="1" xfId="1" quotePrefix="1" applyNumberFormat="1" applyFon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0" fontId="0" fillId="0" borderId="1" xfId="1" applyFont="1" applyBorder="1"/>
    <xf numFmtId="3" fontId="15" fillId="0" borderId="0" xfId="0" applyNumberFormat="1" applyFont="1"/>
    <xf numFmtId="0" fontId="6" fillId="5" borderId="1" xfId="1" applyFont="1" applyFill="1" applyBorder="1" applyAlignment="1">
      <alignment horizontal="center" wrapText="1"/>
    </xf>
    <xf numFmtId="4" fontId="4" fillId="0" borderId="1" xfId="0" applyNumberFormat="1" applyFont="1" applyBorder="1"/>
    <xf numFmtId="3" fontId="6" fillId="0" borderId="1" xfId="0" applyNumberFormat="1" applyFont="1" applyBorder="1"/>
    <xf numFmtId="0" fontId="16" fillId="0" borderId="0" xfId="0" applyFont="1"/>
    <xf numFmtId="0" fontId="14" fillId="0" borderId="1" xfId="0" applyFont="1" applyBorder="1" applyAlignment="1">
      <alignment vertical="top"/>
    </xf>
    <xf numFmtId="0" fontId="17" fillId="0" borderId="0" xfId="7"/>
    <xf numFmtId="0" fontId="14" fillId="0" borderId="1" xfId="1" applyFont="1" applyBorder="1"/>
    <xf numFmtId="0" fontId="14" fillId="0" borderId="1" xfId="1" applyFont="1" applyBorder="1" applyAlignment="1">
      <alignment wrapText="1"/>
    </xf>
    <xf numFmtId="3" fontId="17" fillId="0" borderId="1" xfId="7" applyNumberFormat="1" applyBorder="1"/>
    <xf numFmtId="0" fontId="14" fillId="0" borderId="7" xfId="1" applyFont="1" applyBorder="1" applyAlignment="1">
      <alignment wrapText="1"/>
    </xf>
    <xf numFmtId="0" fontId="14" fillId="0" borderId="1" xfId="1" applyFont="1" applyBorder="1" applyAlignment="1">
      <alignment vertical="top"/>
    </xf>
    <xf numFmtId="3" fontId="17" fillId="7" borderId="1" xfId="7" applyNumberFormat="1" applyFill="1" applyBorder="1"/>
    <xf numFmtId="3" fontId="15" fillId="0" borderId="0" xfId="7" applyNumberFormat="1" applyFont="1"/>
    <xf numFmtId="0" fontId="4" fillId="0" borderId="0" xfId="7" applyFont="1"/>
    <xf numFmtId="3" fontId="17" fillId="0" borderId="0" xfId="7" applyNumberFormat="1"/>
    <xf numFmtId="0" fontId="4" fillId="0" borderId="0" xfId="7" applyFont="1" applyAlignment="1">
      <alignment horizontal="right"/>
    </xf>
    <xf numFmtId="0" fontId="18" fillId="0" borderId="0" xfId="7" applyFont="1"/>
    <xf numFmtId="165" fontId="17" fillId="0" borderId="0" xfId="7" applyNumberFormat="1"/>
    <xf numFmtId="9" fontId="19" fillId="0" borderId="0" xfId="0" applyNumberFormat="1" applyFont="1"/>
    <xf numFmtId="1" fontId="8" fillId="0" borderId="1" xfId="1" applyNumberFormat="1" applyFont="1" applyBorder="1"/>
    <xf numFmtId="0" fontId="4" fillId="4" borderId="1" xfId="1" applyFill="1" applyBorder="1"/>
    <xf numFmtId="166" fontId="5" fillId="3" borderId="1" xfId="1" quotePrefix="1" applyNumberFormat="1" applyFont="1" applyFill="1" applyBorder="1" applyAlignment="1">
      <alignment horizontal="left"/>
    </xf>
    <xf numFmtId="166" fontId="5" fillId="3" borderId="1" xfId="1" applyNumberFormat="1" applyFont="1" applyFill="1" applyBorder="1" applyAlignment="1">
      <alignment horizontal="left"/>
    </xf>
    <xf numFmtId="1" fontId="8" fillId="4" borderId="1" xfId="0" applyNumberFormat="1" applyFont="1" applyFill="1" applyBorder="1"/>
    <xf numFmtId="3" fontId="0" fillId="7" borderId="1" xfId="0" applyNumberFormat="1" applyFill="1" applyBorder="1"/>
    <xf numFmtId="0" fontId="0" fillId="0" borderId="0" xfId="0" applyAlignment="1">
      <alignment horizontal="right"/>
    </xf>
    <xf numFmtId="0" fontId="24" fillId="0" borderId="1" xfId="1" applyFont="1" applyBorder="1"/>
    <xf numFmtId="0" fontId="24" fillId="0" borderId="1" xfId="1" applyFont="1" applyBorder="1" applyAlignment="1">
      <alignment wrapText="1"/>
    </xf>
    <xf numFmtId="0" fontId="24" fillId="0" borderId="1" xfId="1" applyFont="1" applyBorder="1" applyAlignment="1">
      <alignment vertical="top"/>
    </xf>
    <xf numFmtId="0" fontId="26" fillId="0" borderId="0" xfId="0" applyFont="1"/>
    <xf numFmtId="3" fontId="26" fillId="0" borderId="0" xfId="0" applyNumberFormat="1" applyFont="1"/>
    <xf numFmtId="3" fontId="23" fillId="0" borderId="1" xfId="0" applyNumberFormat="1" applyFont="1" applyBorder="1"/>
    <xf numFmtId="3" fontId="22" fillId="0" borderId="1" xfId="0" applyNumberFormat="1" applyFont="1" applyBorder="1"/>
    <xf numFmtId="0" fontId="6" fillId="0" borderId="0" xfId="0" applyFont="1"/>
    <xf numFmtId="3" fontId="23" fillId="0" borderId="0" xfId="0" applyNumberFormat="1" applyFont="1"/>
    <xf numFmtId="0" fontId="23" fillId="0" borderId="0" xfId="0" applyFont="1"/>
    <xf numFmtId="3" fontId="6" fillId="7" borderId="1" xfId="0" applyNumberFormat="1" applyFont="1" applyFill="1" applyBorder="1"/>
    <xf numFmtId="4" fontId="0" fillId="0" borderId="1" xfId="0" applyNumberFormat="1" applyBorder="1"/>
    <xf numFmtId="4" fontId="0" fillId="7" borderId="1" xfId="0" applyNumberFormat="1" applyFill="1" applyBorder="1"/>
    <xf numFmtId="3" fontId="4" fillId="0" borderId="1" xfId="0" applyNumberFormat="1" applyFont="1" applyBorder="1"/>
    <xf numFmtId="3" fontId="0" fillId="0" borderId="0" xfId="0" applyNumberFormat="1" applyAlignment="1">
      <alignment horizontal="right"/>
    </xf>
    <xf numFmtId="3" fontId="28" fillId="0" borderId="0" xfId="0" applyNumberFormat="1" applyFont="1"/>
    <xf numFmtId="0" fontId="25" fillId="0" borderId="0" xfId="0" applyFont="1"/>
    <xf numFmtId="0" fontId="6" fillId="7" borderId="1" xfId="1" applyFont="1" applyFill="1" applyBorder="1"/>
    <xf numFmtId="3" fontId="14" fillId="0" borderId="1" xfId="1" applyNumberFormat="1" applyFont="1" applyBorder="1" applyAlignment="1">
      <alignment wrapText="1"/>
    </xf>
    <xf numFmtId="3" fontId="6" fillId="7" borderId="1" xfId="1" applyNumberFormat="1" applyFont="1" applyFill="1" applyBorder="1"/>
    <xf numFmtId="0" fontId="29" fillId="0" borderId="0" xfId="1" applyFont="1" applyAlignment="1">
      <alignment wrapText="1"/>
    </xf>
    <xf numFmtId="167" fontId="14" fillId="0" borderId="1" xfId="1" applyNumberFormat="1" applyFont="1" applyBorder="1" applyAlignment="1">
      <alignment wrapText="1"/>
    </xf>
    <xf numFmtId="9" fontId="25" fillId="0" borderId="0" xfId="0" applyNumberFormat="1" applyFont="1"/>
    <xf numFmtId="0" fontId="23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0" fillId="0" borderId="0" xfId="1" applyFont="1"/>
    <xf numFmtId="0" fontId="21" fillId="0" borderId="1" xfId="1" applyFont="1" applyBorder="1"/>
    <xf numFmtId="3" fontId="21" fillId="0" borderId="1" xfId="1" applyNumberFormat="1" applyFont="1" applyBorder="1"/>
    <xf numFmtId="165" fontId="0" fillId="0" borderId="1" xfId="0" applyNumberFormat="1" applyBorder="1"/>
    <xf numFmtId="165" fontId="6" fillId="0" borderId="1" xfId="0" applyNumberFormat="1" applyFont="1" applyBorder="1"/>
    <xf numFmtId="0" fontId="15" fillId="0" borderId="0" xfId="0" applyFont="1"/>
    <xf numFmtId="3" fontId="19" fillId="0" borderId="0" xfId="0" applyNumberFormat="1" applyFont="1"/>
    <xf numFmtId="9" fontId="0" fillId="0" borderId="0" xfId="11" applyFont="1"/>
    <xf numFmtId="0" fontId="0" fillId="0" borderId="1" xfId="1" quotePrefix="1" applyFont="1" applyBorder="1"/>
    <xf numFmtId="0" fontId="0" fillId="0" borderId="0" xfId="0" applyAlignment="1">
      <alignment horizontal="left"/>
    </xf>
    <xf numFmtId="0" fontId="14" fillId="4" borderId="1" xfId="1" applyFont="1" applyFill="1" applyBorder="1" applyAlignment="1">
      <alignment wrapText="1"/>
    </xf>
    <xf numFmtId="3" fontId="6" fillId="0" borderId="1" xfId="1" applyNumberFormat="1" applyFont="1" applyBorder="1"/>
    <xf numFmtId="3" fontId="18" fillId="0" borderId="0" xfId="7" applyNumberFormat="1" applyFont="1"/>
    <xf numFmtId="0" fontId="23" fillId="0" borderId="0" xfId="1" applyFont="1"/>
    <xf numFmtId="9" fontId="23" fillId="0" borderId="0" xfId="1" applyNumberFormat="1" applyFont="1"/>
    <xf numFmtId="0" fontId="0" fillId="0" borderId="0" xfId="7" applyFont="1" applyAlignment="1">
      <alignment horizontal="right"/>
    </xf>
    <xf numFmtId="0" fontId="6" fillId="0" borderId="1" xfId="7" applyFont="1" applyBorder="1"/>
    <xf numFmtId="14" fontId="17" fillId="0" borderId="1" xfId="7" applyNumberFormat="1" applyBorder="1" applyAlignment="1">
      <alignment horizontal="left"/>
    </xf>
    <xf numFmtId="0" fontId="0" fillId="0" borderId="1" xfId="7" applyFont="1" applyBorder="1" applyAlignment="1">
      <alignment horizontal="left"/>
    </xf>
    <xf numFmtId="3" fontId="30" fillId="0" borderId="1" xfId="1" applyNumberFormat="1" applyFont="1" applyBorder="1" applyAlignment="1">
      <alignment wrapText="1"/>
    </xf>
    <xf numFmtId="0" fontId="33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right" vertical="center"/>
    </xf>
    <xf numFmtId="3" fontId="30" fillId="4" borderId="1" xfId="1" applyNumberFormat="1" applyFont="1" applyFill="1" applyBorder="1" applyAlignment="1">
      <alignment wrapText="1"/>
    </xf>
    <xf numFmtId="0" fontId="15" fillId="0" borderId="1" xfId="1" applyFont="1" applyBorder="1"/>
    <xf numFmtId="0" fontId="4" fillId="0" borderId="0" xfId="13"/>
    <xf numFmtId="0" fontId="6" fillId="0" borderId="0" xfId="13" applyFont="1" applyAlignment="1">
      <alignment horizontal="center"/>
    </xf>
    <xf numFmtId="4" fontId="4" fillId="0" borderId="0" xfId="13" applyNumberFormat="1"/>
    <xf numFmtId="3" fontId="4" fillId="0" borderId="0" xfId="13" applyNumberFormat="1"/>
    <xf numFmtId="168" fontId="4" fillId="0" borderId="1" xfId="1" applyNumberFormat="1" applyBorder="1"/>
    <xf numFmtId="3" fontId="4" fillId="0" borderId="1" xfId="13" applyNumberFormat="1" applyBorder="1"/>
    <xf numFmtId="0" fontId="6" fillId="0" borderId="0" xfId="13" applyFont="1"/>
    <xf numFmtId="0" fontId="35" fillId="0" borderId="0" xfId="13" applyFont="1"/>
    <xf numFmtId="0" fontId="18" fillId="0" borderId="0" xfId="13" applyFont="1"/>
    <xf numFmtId="1" fontId="4" fillId="0" borderId="0" xfId="13" applyNumberFormat="1"/>
    <xf numFmtId="0" fontId="0" fillId="0" borderId="0" xfId="13" applyFont="1"/>
    <xf numFmtId="0" fontId="36" fillId="0" borderId="0" xfId="0" applyFont="1"/>
    <xf numFmtId="2" fontId="0" fillId="0" borderId="0" xfId="0" applyNumberFormat="1"/>
    <xf numFmtId="2" fontId="25" fillId="0" borderId="0" xfId="0" applyNumberFormat="1" applyFont="1"/>
    <xf numFmtId="16" fontId="0" fillId="0" borderId="0" xfId="0" applyNumberFormat="1"/>
    <xf numFmtId="3" fontId="0" fillId="0" borderId="4" xfId="0" applyNumberFormat="1" applyBorder="1" applyAlignment="1">
      <alignment horizontal="center"/>
    </xf>
    <xf numFmtId="9" fontId="4" fillId="0" borderId="0" xfId="11"/>
    <xf numFmtId="1" fontId="0" fillId="0" borderId="0" xfId="0" applyNumberFormat="1"/>
    <xf numFmtId="0" fontId="0" fillId="0" borderId="0" xfId="7" applyFont="1"/>
    <xf numFmtId="0" fontId="6" fillId="4" borderId="6" xfId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5" fontId="0" fillId="0" borderId="0" xfId="0" applyNumberFormat="1"/>
    <xf numFmtId="0" fontId="4" fillId="0" borderId="0" xfId="0" applyFont="1" applyAlignment="1">
      <alignment horizontal="left"/>
    </xf>
    <xf numFmtId="0" fontId="4" fillId="0" borderId="10" xfId="1" applyBorder="1"/>
    <xf numFmtId="0" fontId="6" fillId="7" borderId="1" xfId="1" applyFont="1" applyFill="1" applyBorder="1" applyAlignment="1">
      <alignment horizontal="center" wrapText="1"/>
    </xf>
    <xf numFmtId="167" fontId="0" fillId="0" borderId="0" xfId="0" applyNumberFormat="1"/>
    <xf numFmtId="0" fontId="37" fillId="7" borderId="1" xfId="1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28" fillId="0" borderId="0" xfId="0" applyFont="1"/>
    <xf numFmtId="3" fontId="4" fillId="0" borderId="1" xfId="7" applyNumberFormat="1" applyFont="1" applyBorder="1"/>
    <xf numFmtId="9" fontId="18" fillId="0" borderId="0" xfId="11" applyFont="1"/>
    <xf numFmtId="164" fontId="0" fillId="0" borderId="1" xfId="0" applyNumberFormat="1" applyBorder="1"/>
    <xf numFmtId="3" fontId="38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3" fontId="15" fillId="0" borderId="0" xfId="1" applyNumberFormat="1" applyFont="1"/>
    <xf numFmtId="1" fontId="0" fillId="0" borderId="0" xfId="11" applyNumberFormat="1" applyFont="1"/>
    <xf numFmtId="14" fontId="0" fillId="0" borderId="1" xfId="7" applyNumberFormat="1" applyFont="1" applyBorder="1" applyAlignment="1">
      <alignment horizontal="left"/>
    </xf>
    <xf numFmtId="0" fontId="6" fillId="7" borderId="1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6" fillId="7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wrapText="1"/>
    </xf>
    <xf numFmtId="0" fontId="22" fillId="0" borderId="1" xfId="1" applyFont="1" applyBorder="1" applyAlignment="1">
      <alignment horizontal="center" wrapText="1"/>
    </xf>
    <xf numFmtId="0" fontId="39" fillId="7" borderId="1" xfId="7" applyFont="1" applyFill="1" applyBorder="1"/>
    <xf numFmtId="165" fontId="40" fillId="7" borderId="1" xfId="7" applyNumberFormat="1" applyFont="1" applyFill="1" applyBorder="1"/>
    <xf numFmtId="14" fontId="15" fillId="0" borderId="1" xfId="7" applyNumberFormat="1" applyFont="1" applyBorder="1" applyAlignment="1">
      <alignment horizontal="left"/>
    </xf>
    <xf numFmtId="0" fontId="0" fillId="0" borderId="0" xfId="7" applyFont="1" applyAlignment="1">
      <alignment horizontal="center"/>
    </xf>
    <xf numFmtId="0" fontId="6" fillId="7" borderId="7" xfId="0" quotePrefix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1" fontId="19" fillId="0" borderId="0" xfId="0" applyNumberFormat="1" applyFont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3" fillId="0" borderId="0" xfId="0" applyFont="1"/>
    <xf numFmtId="0" fontId="6" fillId="5" borderId="1" xfId="0" applyFont="1" applyFill="1" applyBorder="1" applyAlignment="1">
      <alignment horizontal="center"/>
    </xf>
    <xf numFmtId="0" fontId="0" fillId="6" borderId="0" xfId="0" applyFill="1"/>
    <xf numFmtId="4" fontId="0" fillId="0" borderId="0" xfId="0" applyNumberFormat="1"/>
    <xf numFmtId="0" fontId="6" fillId="2" borderId="1" xfId="1" applyFont="1" applyFill="1" applyBorder="1" applyAlignment="1">
      <alignment horizontal="center" wrapText="1"/>
    </xf>
    <xf numFmtId="168" fontId="16" fillId="0" borderId="0" xfId="0" applyNumberFormat="1" applyFont="1"/>
    <xf numFmtId="165" fontId="16" fillId="0" borderId="0" xfId="0" applyNumberFormat="1" applyFont="1"/>
    <xf numFmtId="9" fontId="44" fillId="5" borderId="1" xfId="0" applyNumberFormat="1" applyFont="1" applyFill="1" applyBorder="1" applyAlignment="1">
      <alignment horizontal="center"/>
    </xf>
    <xf numFmtId="168" fontId="0" fillId="0" borderId="1" xfId="0" applyNumberFormat="1" applyBorder="1"/>
    <xf numFmtId="168" fontId="15" fillId="0" borderId="1" xfId="0" applyNumberFormat="1" applyFont="1" applyBorder="1"/>
    <xf numFmtId="0" fontId="45" fillId="7" borderId="1" xfId="0" applyFont="1" applyFill="1" applyBorder="1" applyAlignment="1">
      <alignment horizontal="center"/>
    </xf>
    <xf numFmtId="0" fontId="46" fillId="7" borderId="1" xfId="13" applyFont="1" applyFill="1" applyBorder="1" applyAlignment="1">
      <alignment horizontal="center" vertical="center"/>
    </xf>
    <xf numFmtId="0" fontId="47" fillId="7" borderId="1" xfId="0" applyFont="1" applyFill="1" applyBorder="1" applyAlignment="1">
      <alignment horizontal="center"/>
    </xf>
    <xf numFmtId="0" fontId="47" fillId="7" borderId="1" xfId="0" applyFont="1" applyFill="1" applyBorder="1" applyAlignment="1">
      <alignment horizontal="center" wrapText="1"/>
    </xf>
    <xf numFmtId="3" fontId="48" fillId="11" borderId="1" xfId="0" applyNumberFormat="1" applyFont="1" applyFill="1" applyBorder="1" applyAlignment="1">
      <alignment horizontal="right" vertical="center"/>
    </xf>
    <xf numFmtId="9" fontId="0" fillId="0" borderId="1" xfId="11" applyFont="1" applyBorder="1"/>
    <xf numFmtId="10" fontId="0" fillId="0" borderId="1" xfId="11" applyNumberFormat="1" applyFont="1" applyBorder="1"/>
    <xf numFmtId="9" fontId="6" fillId="0" borderId="1" xfId="11" applyFont="1" applyBorder="1"/>
    <xf numFmtId="10" fontId="6" fillId="0" borderId="1" xfId="11" applyNumberFormat="1" applyFont="1" applyBorder="1"/>
    <xf numFmtId="0" fontId="6" fillId="10" borderId="7" xfId="1" applyFont="1" applyFill="1" applyBorder="1" applyAlignment="1">
      <alignment horizontal="center" wrapText="1"/>
    </xf>
    <xf numFmtId="0" fontId="6" fillId="6" borderId="7" xfId="1" applyFont="1" applyFill="1" applyBorder="1" applyAlignment="1">
      <alignment horizontal="center" wrapText="1"/>
    </xf>
    <xf numFmtId="0" fontId="6" fillId="7" borderId="1" xfId="7" applyFont="1" applyFill="1" applyBorder="1"/>
    <xf numFmtId="165" fontId="44" fillId="7" borderId="1" xfId="7" applyNumberFormat="1" applyFont="1" applyFill="1" applyBorder="1"/>
    <xf numFmtId="3" fontId="4" fillId="4" borderId="1" xfId="1" applyNumberFormat="1" applyFill="1" applyBorder="1"/>
    <xf numFmtId="0" fontId="44" fillId="0" borderId="1" xfId="1" applyFont="1" applyBorder="1"/>
    <xf numFmtId="0" fontId="44" fillId="0" borderId="1" xfId="1" applyFont="1" applyBorder="1" applyAlignment="1">
      <alignment horizontal="center"/>
    </xf>
    <xf numFmtId="0" fontId="6" fillId="7" borderId="1" xfId="0" applyFont="1" applyFill="1" applyBorder="1" applyAlignment="1">
      <alignment horizontal="center" wrapText="1"/>
    </xf>
    <xf numFmtId="0" fontId="6" fillId="7" borderId="10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4" xfId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6" borderId="6" xfId="1" applyFont="1" applyFill="1" applyBorder="1" applyAlignment="1">
      <alignment horizontal="center" wrapText="1"/>
    </xf>
    <xf numFmtId="0" fontId="4" fillId="0" borderId="10" xfId="0" applyFont="1" applyBorder="1"/>
    <xf numFmtId="0" fontId="4" fillId="0" borderId="7" xfId="0" applyFont="1" applyBorder="1"/>
    <xf numFmtId="0" fontId="6" fillId="6" borderId="1" xfId="1" applyFont="1" applyFill="1" applyBorder="1" applyAlignment="1">
      <alignment horizontal="center" wrapText="1"/>
    </xf>
    <xf numFmtId="0" fontId="0" fillId="6" borderId="1" xfId="0" applyFill="1" applyBorder="1"/>
    <xf numFmtId="0" fontId="6" fillId="7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7" borderId="3" xfId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0" fillId="0" borderId="10" xfId="0" applyBorder="1"/>
    <xf numFmtId="0" fontId="0" fillId="0" borderId="7" xfId="0" applyBorder="1"/>
    <xf numFmtId="0" fontId="4" fillId="6" borderId="1" xfId="0" applyFont="1" applyFill="1" applyBorder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7" borderId="6" xfId="1" applyFont="1" applyFill="1" applyBorder="1" applyAlignment="1">
      <alignment horizontal="center" wrapText="1"/>
    </xf>
    <xf numFmtId="0" fontId="6" fillId="6" borderId="4" xfId="1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7" borderId="1" xfId="1" applyFont="1" applyFill="1" applyBorder="1"/>
    <xf numFmtId="0" fontId="6" fillId="5" borderId="1" xfId="1" applyFont="1" applyFill="1" applyBorder="1" applyAlignment="1">
      <alignment horizontal="center" wrapText="1"/>
    </xf>
    <xf numFmtId="0" fontId="4" fillId="0" borderId="1" xfId="0" applyFont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wrapText="1"/>
    </xf>
    <xf numFmtId="0" fontId="6" fillId="7" borderId="11" xfId="1" applyFont="1" applyFill="1" applyBorder="1" applyAlignment="1">
      <alignment horizontal="center" wrapText="1"/>
    </xf>
    <xf numFmtId="0" fontId="6" fillId="7" borderId="8" xfId="1" applyFont="1" applyFill="1" applyBorder="1" applyAlignment="1">
      <alignment horizontal="center" wrapText="1"/>
    </xf>
    <xf numFmtId="0" fontId="6" fillId="8" borderId="1" xfId="1" applyFont="1" applyFill="1" applyBorder="1" applyAlignment="1">
      <alignment horizontal="center" wrapText="1"/>
    </xf>
    <xf numFmtId="0" fontId="4" fillId="8" borderId="1" xfId="1" applyFill="1" applyBorder="1"/>
    <xf numFmtId="0" fontId="6" fillId="9" borderId="1" xfId="1" applyFont="1" applyFill="1" applyBorder="1" applyAlignment="1">
      <alignment horizontal="center" wrapText="1"/>
    </xf>
    <xf numFmtId="0" fontId="4" fillId="0" borderId="1" xfId="1" applyBorder="1"/>
    <xf numFmtId="0" fontId="4" fillId="6" borderId="1" xfId="1" applyFill="1" applyBorder="1"/>
    <xf numFmtId="0" fontId="4" fillId="7" borderId="1" xfId="1" applyFill="1" applyBorder="1"/>
    <xf numFmtId="0" fontId="6" fillId="7" borderId="12" xfId="1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3" xfId="0" applyFont="1" applyBorder="1"/>
    <xf numFmtId="0" fontId="4" fillId="7" borderId="8" xfId="0" applyFont="1" applyFill="1" applyBorder="1"/>
    <xf numFmtId="0" fontId="4" fillId="7" borderId="5" xfId="0" applyFont="1" applyFill="1" applyBorder="1"/>
    <xf numFmtId="0" fontId="4" fillId="0" borderId="5" xfId="0" applyFont="1" applyBorder="1"/>
    <xf numFmtId="0" fontId="4" fillId="0" borderId="14" xfId="0" applyFont="1" applyBorder="1"/>
    <xf numFmtId="0" fontId="4" fillId="7" borderId="12" xfId="0" applyFont="1" applyFill="1" applyBorder="1"/>
    <xf numFmtId="0" fontId="4" fillId="5" borderId="1" xfId="7" applyFont="1" applyFill="1" applyBorder="1" applyAlignment="1">
      <alignment horizontal="center" wrapText="1"/>
    </xf>
    <xf numFmtId="0" fontId="15" fillId="6" borderId="1" xfId="7" applyFont="1" applyFill="1" applyBorder="1" applyAlignment="1">
      <alignment horizontal="center" wrapText="1"/>
    </xf>
    <xf numFmtId="0" fontId="4" fillId="6" borderId="1" xfId="7" applyFont="1" applyFill="1" applyBorder="1" applyAlignment="1">
      <alignment horizontal="center" wrapText="1"/>
    </xf>
    <xf numFmtId="0" fontId="6" fillId="7" borderId="1" xfId="7" applyFont="1" applyFill="1" applyBorder="1" applyAlignment="1">
      <alignment horizontal="center" wrapText="1"/>
    </xf>
    <xf numFmtId="0" fontId="39" fillId="7" borderId="1" xfId="7" applyFont="1" applyFill="1" applyBorder="1" applyAlignment="1">
      <alignment horizontal="center" wrapText="1"/>
    </xf>
    <xf numFmtId="0" fontId="6" fillId="7" borderId="6" xfId="7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7" borderId="1" xfId="0" quotePrefix="1" applyFont="1" applyFill="1" applyBorder="1" applyAlignment="1">
      <alignment horizontal="center" wrapText="1"/>
    </xf>
    <xf numFmtId="0" fontId="6" fillId="0" borderId="1" xfId="1" applyFont="1" applyBorder="1"/>
    <xf numFmtId="0" fontId="6" fillId="7" borderId="1" xfId="0" applyFont="1" applyFill="1" applyBorder="1"/>
    <xf numFmtId="0" fontId="6" fillId="8" borderId="1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7" borderId="11" xfId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4" fillId="7" borderId="1" xfId="1" applyFill="1" applyBorder="1" applyAlignment="1">
      <alignment horizontal="center"/>
    </xf>
    <xf numFmtId="0" fontId="4" fillId="5" borderId="1" xfId="1" applyFill="1" applyBorder="1" applyAlignment="1">
      <alignment horizontal="center"/>
    </xf>
    <xf numFmtId="0" fontId="4" fillId="6" borderId="1" xfId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47" fillId="6" borderId="1" xfId="13" applyFont="1" applyFill="1" applyBorder="1" applyAlignment="1">
      <alignment horizontal="center" wrapText="1"/>
    </xf>
    <xf numFmtId="0" fontId="47" fillId="6" borderId="1" xfId="0" applyFont="1" applyFill="1" applyBorder="1" applyAlignment="1">
      <alignment horizontal="center" wrapText="1"/>
    </xf>
    <xf numFmtId="0" fontId="6" fillId="0" borderId="1" xfId="0" applyFont="1" applyBorder="1"/>
    <xf numFmtId="0" fontId="45" fillId="7" borderId="1" xfId="0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7" borderId="1" xfId="1" applyFont="1" applyFill="1" applyBorder="1" applyAlignment="1">
      <alignment horizontal="center"/>
    </xf>
    <xf numFmtId="0" fontId="4" fillId="0" borderId="1" xfId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5" borderId="1" xfId="0" applyFont="1" applyFill="1" applyBorder="1"/>
    <xf numFmtId="0" fontId="4" fillId="0" borderId="1" xfId="0" applyFont="1" applyBorder="1" applyAlignment="1">
      <alignment horizontal="center"/>
    </xf>
    <xf numFmtId="0" fontId="42" fillId="2" borderId="1" xfId="1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/>
    <xf numFmtId="0" fontId="6" fillId="7" borderId="4" xfId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2" fillId="0" borderId="1" xfId="1" applyFont="1" applyBorder="1" applyAlignment="1">
      <alignment horizontal="center" wrapText="1"/>
    </xf>
    <xf numFmtId="0" fontId="27" fillId="0" borderId="1" xfId="1" applyFont="1" applyBorder="1" applyAlignment="1">
      <alignment wrapText="1"/>
    </xf>
    <xf numFmtId="0" fontId="23" fillId="0" borderId="1" xfId="0" applyFont="1" applyBorder="1"/>
    <xf numFmtId="0" fontId="22" fillId="0" borderId="1" xfId="1" applyFont="1" applyBorder="1"/>
    <xf numFmtId="0" fontId="22" fillId="0" borderId="4" xfId="1" applyFont="1" applyBorder="1" applyAlignment="1">
      <alignment horizontal="center" wrapText="1"/>
    </xf>
    <xf numFmtId="0" fontId="22" fillId="0" borderId="9" xfId="1" applyFont="1" applyBorder="1" applyAlignment="1">
      <alignment horizontal="center" wrapText="1"/>
    </xf>
    <xf numFmtId="0" fontId="23" fillId="0" borderId="9" xfId="0" applyFont="1" applyBorder="1" applyAlignment="1">
      <alignment horizontal="center" wrapText="1"/>
    </xf>
    <xf numFmtId="0" fontId="23" fillId="0" borderId="9" xfId="1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0" xfId="1" applyBorder="1" applyAlignment="1">
      <alignment horizontal="center"/>
    </xf>
    <xf numFmtId="0" fontId="4" fillId="0" borderId="7" xfId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" fillId="4" borderId="6" xfId="7" applyFont="1" applyFill="1" applyBorder="1" applyAlignment="1">
      <alignment horizontal="center" wrapText="1"/>
    </xf>
    <xf numFmtId="0" fontId="6" fillId="7" borderId="1" xfId="7" applyFont="1" applyFill="1" applyBorder="1" applyAlignment="1">
      <alignment horizontal="center"/>
    </xf>
    <xf numFmtId="0" fontId="0" fillId="4" borderId="10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3" fontId="17" fillId="4" borderId="1" xfId="7" applyNumberFormat="1" applyFill="1" applyBorder="1"/>
    <xf numFmtId="3" fontId="17" fillId="0" borderId="1" xfId="7" applyNumberFormat="1" applyFill="1" applyBorder="1"/>
  </cellXfs>
  <cellStyles count="18">
    <cellStyle name="Normaallaad" xfId="0" builtinId="0"/>
    <cellStyle name="Normaallaad 2" xfId="13" xr:uid="{00000000-0005-0000-0000-000001000000}"/>
    <cellStyle name="Normaallaad 3" xfId="14" xr:uid="{AD5C852B-A315-4A02-A4E7-CFEC60C0273A}"/>
    <cellStyle name="Normaallaad 4" xfId="16" xr:uid="{C135185B-0A35-4FD6-9FE3-4D1603A806F3}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3 2" xfId="5" xr:uid="{00000000-0005-0000-0000-000006000000}"/>
    <cellStyle name="Normal 3 3" xfId="8" xr:uid="{00000000-0005-0000-0000-000007000000}"/>
    <cellStyle name="Normal 4" xfId="7" xr:uid="{00000000-0005-0000-0000-000008000000}"/>
    <cellStyle name="Normal 5" xfId="10" xr:uid="{00000000-0005-0000-0000-000009000000}"/>
    <cellStyle name="Normal 6" xfId="6" xr:uid="{00000000-0005-0000-0000-00000A000000}"/>
    <cellStyle name="Normal_REA invest 2005-2006 maakonniti 160905" xfId="12" xr:uid="{00000000-0005-0000-0000-00000B000000}"/>
    <cellStyle name="Percent 2" xfId="9" xr:uid="{00000000-0005-0000-0000-00000C000000}"/>
    <cellStyle name="Protsent" xfId="11" builtinId="5"/>
    <cellStyle name="Protsent 2" xfId="15" xr:uid="{AEE26C9C-E5A6-4D21-9E7B-63F57DCFAC28}"/>
    <cellStyle name="Protsent 3" xfId="17" xr:uid="{0EC13371-4195-41AB-9B79-38487B8AD2A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963482402705"/>
          <c:y val="0.14738041033995419"/>
          <c:w val="0.49676388461565824"/>
          <c:h val="0.7971932023085973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C71-4073-9E92-80F78675EF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C71-4073-9E92-80F78675EF8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C71-4073-9E92-80F78675EF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C71-4073-9E92-80F78675EF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0C71-4073-9E92-80F78675EF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C71-4073-9E92-80F78675EF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E774-4380-B504-6F0FB18BE761}"/>
              </c:ext>
            </c:extLst>
          </c:dPt>
          <c:dLbls>
            <c:dLbl>
              <c:idx val="0"/>
              <c:layout>
                <c:manualLayout>
                  <c:x val="4.1152316713413871E-2"/>
                  <c:y val="-0.102893890675241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71-4073-9E92-80F78675EF8F}"/>
                </c:ext>
              </c:extLst>
            </c:dLbl>
            <c:dLbl>
              <c:idx val="1"/>
              <c:layout>
                <c:manualLayout>
                  <c:x val="1.3888888888888666E-3"/>
                  <c:y val="0.148148148148148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344444444444444"/>
                      <c:h val="0.23990740740740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C71-4073-9E92-80F78675EF8F}"/>
                </c:ext>
              </c:extLst>
            </c:dLbl>
            <c:dLbl>
              <c:idx val="2"/>
              <c:layout>
                <c:manualLayout>
                  <c:x val="-0.10555555555555557"/>
                  <c:y val="9.259259259259258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71-4073-9E92-80F78675EF8F}"/>
                </c:ext>
              </c:extLst>
            </c:dLbl>
            <c:dLbl>
              <c:idx val="3"/>
              <c:layout>
                <c:manualLayout>
                  <c:x val="-0.10833333333333335"/>
                  <c:y val="-0.11574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71-4073-9E92-80F78675EF8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0C71-4073-9E92-80F78675EF8F}"/>
                </c:ext>
              </c:extLst>
            </c:dLbl>
            <c:dLbl>
              <c:idx val="5"/>
              <c:layout>
                <c:manualLayout>
                  <c:x val="0.14072525009895664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156989903375533"/>
                      <c:h val="0.126094529960943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C71-4073-9E92-80F78675EF8F}"/>
                </c:ext>
              </c:extLst>
            </c:dLbl>
            <c:dLbl>
              <c:idx val="6"/>
              <c:layout>
                <c:manualLayout>
                  <c:x val="0.24242449483472706"/>
                  <c:y val="-4.0524141351787774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t-E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74-4380-B504-6F0FB18BE761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Üldharidus!$B$97:$B$103</c:f>
              <c:strCache>
                <c:ptCount val="7"/>
                <c:pt idx="0">
                  <c:v>Õpetajate tööjõukulu</c:v>
                </c:pt>
                <c:pt idx="1">
                  <c:v>Direktorite ja õppealajuhatajate tööjõukulu</c:v>
                </c:pt>
                <c:pt idx="2">
                  <c:v>Täiendus-koolitus</c:v>
                </c:pt>
                <c:pt idx="3">
                  <c:v>Õppekirjandus</c:v>
                </c:pt>
                <c:pt idx="4">
                  <c:v>Koolilõuna</c:v>
                </c:pt>
                <c:pt idx="5">
                  <c:v>Tõhustatud ja eritoe tegevuskulu</c:v>
                </c:pt>
                <c:pt idx="6">
                  <c:v>Kultuuriranits</c:v>
                </c:pt>
              </c:strCache>
            </c:strRef>
          </c:cat>
          <c:val>
            <c:numRef>
              <c:f>Üldharidus!$C$97:$C$103</c:f>
              <c:numCache>
                <c:formatCode>#,##0</c:formatCode>
                <c:ptCount val="7"/>
                <c:pt idx="0">
                  <c:v>393043079</c:v>
                </c:pt>
                <c:pt idx="1">
                  <c:v>15454980</c:v>
                </c:pt>
                <c:pt idx="2">
                  <c:v>1994448</c:v>
                </c:pt>
                <c:pt idx="3">
                  <c:v>8316470</c:v>
                </c:pt>
                <c:pt idx="4">
                  <c:v>24797500</c:v>
                </c:pt>
                <c:pt idx="5">
                  <c:v>23315689</c:v>
                </c:pt>
                <c:pt idx="6">
                  <c:v>1379904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71-4073-9E92-80F78675EF8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152406</xdr:colOff>
      <xdr:row>87</xdr:row>
      <xdr:rowOff>19049</xdr:rowOff>
    </xdr:from>
    <xdr:to>
      <xdr:col>15</xdr:col>
      <xdr:colOff>666750</xdr:colOff>
      <xdr:row>105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us Jõgi" id="{9497A672-A7C4-4E0A-9903-E80EE99EEA6F}" userId="S::Andrus.Jogi@fin.ee::0d1f808d-8e7c-41dd-b8c6-8ecd6d0697dd" providerId="AD"/>
</personList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3" dT="2022-11-15T11:57:00.90" personId="{9497A672-A7C4-4E0A-9903-E80EE99EEA6F}" id="{EB71E415-EBD0-4497-8D77-1974D9AB53B1}">
    <text>Sh KÕP tervislikel põhjustel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" dT="2023-02-09T07:06:20.24" personId="{9497A672-A7C4-4E0A-9903-E80EE99EEA6F}" id="{B5474652-90EC-4791-9500-1A421EC2F154}">
    <text xml:space="preserve">(37) Riigieelarves määratakse riigieelarve võimalustest lähtudes kohaliku omavalitsuse üksustele toetus pikaajalist hooldust vajavatele täisealistele isikutele teenuste osutamiseks. Toetus jaotatakse kohaliku omavalitsuse üksuste vahel proportsionaalselt 65–84-aastaste ja vähemalt 85-aastaste elanike arvu alusel. Seejuures üle 85-aastaste elanike arv arvestatakse koefitsiendiga 4,8.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" dT="2022-02-16T12:27:55.53" personId="{9497A672-A7C4-4E0A-9903-E80EE99EEA6F}" id="{DFFDEF60-F0B6-428D-A6F1-8F8259BB2EFA}">
    <text>Neid teid rahastatakse erikorras</text>
  </threadedComment>
  <threadedComment ref="F4" dT="2023-01-23T07:07:55.74" personId="{9497A672-A7C4-4E0A-9903-E80EE99EEA6F}" id="{2C4D97C4-0572-4DF7-AD9B-58F332211D0A}">
    <text>Vald ei ole teed registrisse kandud, seega ei saa siin ka maha lahutada.</text>
  </threadedComment>
  <threadedComment ref="F19" dT="2022-02-16T13:12:13.04" personId="{9497A672-A7C4-4E0A-9903-E80EE99EEA6F}" id="{6FEA0E54-E6B7-492C-A01B-AFC1DD81F76C}">
    <text>Viimsi ei ole neid teid registrisse veel kandnud, seetõttu ei saa neid ka maha lahutada.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" dT="2023-01-26T10:24:40.28" personId="{9497A672-A7C4-4E0A-9903-E80EE99EEA6F}" id="{31C8E7E7-D2AC-443F-858D-DCD3D7A0E9AE}">
    <text>Konto: 551100 Küte ja soojusenergia, 551101 Elekter, 551200 Küte ja soojusenergia, 551210 Elekter. Kõik tegevusalad, v.a tervishoiu valdkond ja 06605 Muud elamu- ja kommunaalmajanduse tegevus ja 06300 veevarustus ning 043xx</text>
  </threadedComment>
  <threadedComment ref="S3" dT="2023-01-25T11:44:54.10" personId="{9497A672-A7C4-4E0A-9903-E80EE99EEA6F}" id="{4ADCEC1A-A785-47D5-AF02-BE0A3926E7A0}">
    <text>EMTA andmetel</text>
  </threadedComment>
  <threadedComment ref="T3" dT="2023-01-25T11:44:47.22" personId="{9497A672-A7C4-4E0A-9903-E80EE99EEA6F}" id="{07848677-F2BF-446C-9FC5-F5B614531C39}">
    <text>EMTA andmetel s. 10.11.2022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Y106" dT="2021-11-30T07:46:23.23" personId="{9497A672-A7C4-4E0A-9903-E80EE99EEA6F}" id="{8CAA8D98-AC1D-4DB0-9EB2-DF4C65825B48}">
    <text>2022.a-st 4,5 (enne 2,5)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Relationship Id="rId4" Type="http://schemas.microsoft.com/office/2017/10/relationships/threadedComment" Target="../threadedComments/threadedComment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1"/>
  <sheetViews>
    <sheetView workbookViewId="0">
      <pane xSplit="2" ySplit="3" topLeftCell="AL63" activePane="bottomRight" state="frozen"/>
      <selection pane="topRight" activeCell="C1" sqref="C1"/>
      <selection pane="bottomLeft" activeCell="A4" sqref="A4"/>
      <selection pane="bottomRight" activeCell="AV87" sqref="AV87"/>
    </sheetView>
  </sheetViews>
  <sheetFormatPr defaultRowHeight="13.2" x14ac:dyDescent="0.25"/>
  <cols>
    <col min="1" max="1" width="9.5546875" bestFit="1" customWidth="1"/>
    <col min="2" max="2" width="19.88671875" customWidth="1"/>
    <col min="3" max="3" width="11.109375" bestFit="1" customWidth="1"/>
    <col min="4" max="4" width="6.5546875" bestFit="1" customWidth="1"/>
    <col min="5" max="5" width="7.33203125" customWidth="1"/>
    <col min="6" max="6" width="4.5546875" bestFit="1" customWidth="1"/>
    <col min="7" max="7" width="5.5546875" bestFit="1" customWidth="1"/>
    <col min="8" max="8" width="5" bestFit="1" customWidth="1"/>
    <col min="9" max="9" width="3" bestFit="1" customWidth="1"/>
    <col min="10" max="10" width="5.5546875" customWidth="1"/>
    <col min="11" max="12" width="13.6640625" customWidth="1"/>
    <col min="13" max="13" width="5.44140625" bestFit="1" customWidth="1"/>
    <col min="14" max="14" width="7.5546875" bestFit="1" customWidth="1"/>
    <col min="15" max="15" width="7.33203125" customWidth="1"/>
    <col min="16" max="16" width="10.33203125" customWidth="1"/>
    <col min="17" max="17" width="5.5546875" bestFit="1" customWidth="1"/>
    <col min="18" max="18" width="7.5546875" bestFit="1" customWidth="1"/>
    <col min="19" max="19" width="7.33203125" customWidth="1"/>
    <col min="20" max="21" width="10" customWidth="1"/>
    <col min="22" max="23" width="10.6640625" customWidth="1"/>
    <col min="24" max="24" width="6.88671875" bestFit="1" customWidth="1"/>
    <col min="25" max="25" width="10.5546875" customWidth="1"/>
    <col min="26" max="27" width="11.33203125" customWidth="1"/>
    <col min="28" max="28" width="10.44140625" customWidth="1"/>
    <col min="29" max="29" width="11.109375" bestFit="1" customWidth="1"/>
    <col min="30" max="30" width="10.109375" bestFit="1" customWidth="1"/>
    <col min="31" max="32" width="9.44140625" customWidth="1"/>
    <col min="33" max="33" width="11.44140625" customWidth="1"/>
    <col min="34" max="34" width="14.109375" customWidth="1"/>
    <col min="35" max="35" width="10.44140625" customWidth="1"/>
    <col min="36" max="36" width="11.109375" bestFit="1" customWidth="1"/>
    <col min="37" max="37" width="10.44140625" customWidth="1"/>
    <col min="38" max="38" width="10.109375" bestFit="1" customWidth="1"/>
    <col min="39" max="39" width="7.5546875" bestFit="1" customWidth="1"/>
    <col min="40" max="41" width="9.109375" customWidth="1"/>
    <col min="42" max="42" width="12.44140625" customWidth="1"/>
    <col min="43" max="43" width="10.109375" bestFit="1" customWidth="1"/>
    <col min="44" max="44" width="12.88671875" customWidth="1"/>
    <col min="45" max="45" width="9.88671875" customWidth="1"/>
    <col min="46" max="46" width="10.109375" customWidth="1"/>
    <col min="47" max="47" width="11.33203125" customWidth="1"/>
    <col min="48" max="48" width="13.6640625" customWidth="1"/>
    <col min="49" max="49" width="8.88671875" customWidth="1"/>
    <col min="50" max="50" width="11" customWidth="1"/>
    <col min="51" max="51" width="11.109375" bestFit="1" customWidth="1"/>
    <col min="52" max="52" width="10.109375" bestFit="1" customWidth="1"/>
    <col min="53" max="53" width="10.109375" customWidth="1"/>
    <col min="54" max="54" width="10" customWidth="1"/>
    <col min="55" max="55" width="9.109375" customWidth="1"/>
  </cols>
  <sheetData>
    <row r="1" spans="1:58" ht="12.75" customHeight="1" x14ac:dyDescent="0.25">
      <c r="A1" s="186" t="s">
        <v>511</v>
      </c>
      <c r="B1" s="186" t="s">
        <v>510</v>
      </c>
      <c r="C1" s="190" t="s">
        <v>590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2" t="s">
        <v>631</v>
      </c>
      <c r="Z1" s="124"/>
      <c r="AA1" s="124"/>
      <c r="AB1" s="184" t="s">
        <v>613</v>
      </c>
      <c r="AC1" s="195"/>
      <c r="AD1" s="195"/>
      <c r="AE1" s="195"/>
      <c r="AF1" s="195"/>
      <c r="AG1" s="195"/>
      <c r="AH1" s="195"/>
      <c r="AI1" s="195"/>
      <c r="AJ1" s="195"/>
      <c r="AK1" s="199" t="s">
        <v>643</v>
      </c>
      <c r="AL1" s="200"/>
      <c r="AM1" s="200"/>
      <c r="AN1" s="200"/>
      <c r="AO1" s="200"/>
      <c r="AP1" s="200"/>
      <c r="AQ1" s="201"/>
      <c r="AR1" s="181" t="s">
        <v>646</v>
      </c>
      <c r="AS1" s="181" t="s">
        <v>645</v>
      </c>
      <c r="AT1" s="181" t="s">
        <v>644</v>
      </c>
      <c r="AU1" s="181" t="s">
        <v>610</v>
      </c>
      <c r="AV1" s="181" t="s">
        <v>647</v>
      </c>
      <c r="AW1" s="181" t="s">
        <v>748</v>
      </c>
      <c r="AX1" s="181" t="s">
        <v>773</v>
      </c>
      <c r="AY1" s="198" t="s">
        <v>750</v>
      </c>
      <c r="AZ1" s="198" t="s">
        <v>534</v>
      </c>
      <c r="BB1" s="186" t="s">
        <v>632</v>
      </c>
      <c r="BC1" s="186" t="s">
        <v>633</v>
      </c>
    </row>
    <row r="2" spans="1:58" ht="12.75" customHeight="1" x14ac:dyDescent="0.25">
      <c r="A2" s="186"/>
      <c r="B2" s="186"/>
      <c r="C2" s="186" t="s">
        <v>616</v>
      </c>
      <c r="D2" s="187"/>
      <c r="E2" s="186" t="s">
        <v>620</v>
      </c>
      <c r="F2" s="187"/>
      <c r="G2" s="186" t="s">
        <v>621</v>
      </c>
      <c r="H2" s="186"/>
      <c r="I2" s="187"/>
      <c r="J2" s="187"/>
      <c r="K2" s="179" t="s">
        <v>691</v>
      </c>
      <c r="L2" s="180"/>
      <c r="M2" s="186" t="s">
        <v>624</v>
      </c>
      <c r="N2" s="187"/>
      <c r="O2" s="187"/>
      <c r="P2" s="187"/>
      <c r="Q2" s="186" t="s">
        <v>626</v>
      </c>
      <c r="R2" s="187"/>
      <c r="S2" s="187"/>
      <c r="T2" s="187"/>
      <c r="U2" s="176" t="s">
        <v>512</v>
      </c>
      <c r="V2" s="176" t="s">
        <v>636</v>
      </c>
      <c r="W2" s="189"/>
      <c r="X2" s="189"/>
      <c r="Y2" s="193"/>
      <c r="Z2" s="177" t="s">
        <v>746</v>
      </c>
      <c r="AA2" s="177" t="s">
        <v>774</v>
      </c>
      <c r="AB2" s="188" t="s">
        <v>614</v>
      </c>
      <c r="AC2" s="196"/>
      <c r="AD2" s="188" t="s">
        <v>622</v>
      </c>
      <c r="AE2" s="176" t="s">
        <v>623</v>
      </c>
      <c r="AF2" s="176" t="s">
        <v>628</v>
      </c>
      <c r="AG2" s="176" t="s">
        <v>640</v>
      </c>
      <c r="AH2" s="176" t="s">
        <v>642</v>
      </c>
      <c r="AI2" s="176" t="s">
        <v>641</v>
      </c>
      <c r="AJ2" s="184" t="s">
        <v>512</v>
      </c>
      <c r="AK2" s="202" t="s">
        <v>614</v>
      </c>
      <c r="AL2" s="203"/>
      <c r="AM2" s="188" t="s">
        <v>622</v>
      </c>
      <c r="AN2" s="176" t="s">
        <v>628</v>
      </c>
      <c r="AO2" s="176" t="s">
        <v>629</v>
      </c>
      <c r="AP2" s="176" t="s">
        <v>654</v>
      </c>
      <c r="AQ2" s="184" t="s">
        <v>512</v>
      </c>
      <c r="AR2" s="182"/>
      <c r="AS2" s="182"/>
      <c r="AT2" s="182"/>
      <c r="AU2" s="182"/>
      <c r="AV2" s="182"/>
      <c r="AW2" s="182"/>
      <c r="AX2" s="182"/>
      <c r="AY2" s="182"/>
      <c r="AZ2" s="182"/>
      <c r="BB2" s="197"/>
      <c r="BC2" s="197"/>
      <c r="BE2" t="s">
        <v>693</v>
      </c>
    </row>
    <row r="3" spans="1:58" ht="26.4" x14ac:dyDescent="0.25">
      <c r="A3" s="186"/>
      <c r="B3" s="186"/>
      <c r="C3" s="121" t="s">
        <v>617</v>
      </c>
      <c r="D3" s="121" t="s">
        <v>618</v>
      </c>
      <c r="E3" s="121" t="s">
        <v>617</v>
      </c>
      <c r="F3" s="121" t="s">
        <v>618</v>
      </c>
      <c r="G3" s="121" t="s">
        <v>617</v>
      </c>
      <c r="H3" s="121" t="s">
        <v>634</v>
      </c>
      <c r="I3" s="121" t="s">
        <v>618</v>
      </c>
      <c r="J3" s="121" t="s">
        <v>635</v>
      </c>
      <c r="K3" s="121" t="s">
        <v>617</v>
      </c>
      <c r="L3" s="121" t="s">
        <v>742</v>
      </c>
      <c r="M3" s="121" t="s">
        <v>616</v>
      </c>
      <c r="N3" s="121" t="s">
        <v>625</v>
      </c>
      <c r="O3" s="121" t="s">
        <v>630</v>
      </c>
      <c r="P3" s="123" t="s">
        <v>627</v>
      </c>
      <c r="Q3" s="121" t="s">
        <v>616</v>
      </c>
      <c r="R3" s="121" t="s">
        <v>625</v>
      </c>
      <c r="S3" s="121" t="s">
        <v>630</v>
      </c>
      <c r="T3" s="123" t="s">
        <v>627</v>
      </c>
      <c r="U3" s="176"/>
      <c r="V3" s="135" t="s">
        <v>637</v>
      </c>
      <c r="W3" s="135" t="s">
        <v>638</v>
      </c>
      <c r="X3" s="135" t="s">
        <v>639</v>
      </c>
      <c r="Y3" s="194"/>
      <c r="Z3" s="178"/>
      <c r="AA3" s="178"/>
      <c r="AB3" s="121" t="s">
        <v>619</v>
      </c>
      <c r="AC3" s="121" t="s">
        <v>615</v>
      </c>
      <c r="AD3" s="188"/>
      <c r="AE3" s="176"/>
      <c r="AF3" s="176"/>
      <c r="AG3" s="176"/>
      <c r="AH3" s="176"/>
      <c r="AI3" s="176"/>
      <c r="AJ3" s="185"/>
      <c r="AK3" s="121" t="s">
        <v>669</v>
      </c>
      <c r="AL3" s="121" t="s">
        <v>615</v>
      </c>
      <c r="AM3" s="188"/>
      <c r="AN3" s="176"/>
      <c r="AO3" s="176"/>
      <c r="AP3" s="176"/>
      <c r="AQ3" s="185"/>
      <c r="AR3" s="183"/>
      <c r="AS3" s="183"/>
      <c r="AT3" s="183"/>
      <c r="AU3" s="183"/>
      <c r="AV3" s="183"/>
      <c r="AW3" s="183"/>
      <c r="AX3" s="183"/>
      <c r="AY3" s="183"/>
      <c r="AZ3" s="183"/>
      <c r="BB3" s="197"/>
      <c r="BC3" s="197"/>
      <c r="BE3" s="93" t="s">
        <v>590</v>
      </c>
      <c r="BF3" s="93" t="s">
        <v>692</v>
      </c>
    </row>
    <row r="4" spans="1:58" ht="14.4" x14ac:dyDescent="0.25">
      <c r="A4" s="28" t="s">
        <v>69</v>
      </c>
      <c r="B4" s="29" t="s">
        <v>490</v>
      </c>
      <c r="C4" s="66">
        <v>564</v>
      </c>
      <c r="D4" s="66">
        <v>75</v>
      </c>
      <c r="E4" s="66">
        <v>19</v>
      </c>
      <c r="F4" s="66">
        <v>0</v>
      </c>
      <c r="G4" s="66">
        <v>4</v>
      </c>
      <c r="H4" s="66">
        <v>0</v>
      </c>
      <c r="I4" s="66">
        <v>0</v>
      </c>
      <c r="J4" s="66">
        <v>0</v>
      </c>
      <c r="K4" s="66">
        <v>1</v>
      </c>
      <c r="L4" s="29"/>
      <c r="M4" s="66">
        <v>0</v>
      </c>
      <c r="N4" s="29"/>
      <c r="O4" s="66">
        <v>0</v>
      </c>
      <c r="P4" s="66">
        <v>0</v>
      </c>
      <c r="Q4" s="66">
        <v>0</v>
      </c>
      <c r="R4" s="66">
        <v>0</v>
      </c>
      <c r="S4" s="66">
        <v>0</v>
      </c>
      <c r="T4" s="66">
        <v>0</v>
      </c>
      <c r="U4" s="66">
        <f>SUM(C4:T4)-P4-T4</f>
        <v>663</v>
      </c>
      <c r="V4" s="66">
        <v>0</v>
      </c>
      <c r="W4" s="66">
        <v>0</v>
      </c>
      <c r="X4" s="66">
        <v>0</v>
      </c>
      <c r="Y4" s="69">
        <f t="shared" ref="Y4:Y35" si="0">IF(AND(D4&lt;251,D4&gt;=43),VLOOKUP(D4,BE$4:BF$211,2,FALSE)-1,0)</f>
        <v>8.8999999999999968E-2</v>
      </c>
      <c r="Z4" s="66">
        <v>2609</v>
      </c>
      <c r="AA4" s="66">
        <f t="shared" ref="AA4:AA35" si="1">ROUND((SUM(AC4:AG4)+AQ4)/U4,0)</f>
        <v>3244</v>
      </c>
      <c r="AB4" s="69">
        <v>1.4690000000000001</v>
      </c>
      <c r="AC4" s="66">
        <f t="shared" ref="AC4:AC35" si="2">ROUND(C4*AB4*C$88,0)</f>
        <v>1816107</v>
      </c>
      <c r="AD4" s="92">
        <f t="shared" ref="AD4:AD35" si="3">ROUND((E4*E$84+G4*G$84+H4*H$84)*C$88,0)</f>
        <v>118368</v>
      </c>
      <c r="AE4" s="66">
        <f t="shared" ref="AE4:AE35" si="4">ROUND(K4*K$84*C$88,0)</f>
        <v>1162</v>
      </c>
      <c r="AF4" s="66">
        <f t="shared" ref="AF4:AF35" si="5">ROUND((M4*M$84+N4*N$84+P4*P$84)*C$88,0)</f>
        <v>0</v>
      </c>
      <c r="AG4" s="66"/>
      <c r="AH4" s="66">
        <f t="shared" ref="AH4:AH35" si="6">IF(AA4&lt;Z4,(Z4-AA4)*U4,0)</f>
        <v>0</v>
      </c>
      <c r="AI4" s="66"/>
      <c r="AJ4" s="19">
        <f t="shared" ref="AJ4:AJ35" si="7">SUM(AC4:AI4)</f>
        <v>1935637</v>
      </c>
      <c r="AK4" s="29">
        <f t="shared" ref="AK4:AK35" si="8">IF(D4&lt;400,1.12,IF(D4&lt;=500,1.06,1))</f>
        <v>1.1200000000000001</v>
      </c>
      <c r="AL4" s="66">
        <f>ROUND((D4+L4)*AK4*C$88,0)</f>
        <v>184128</v>
      </c>
      <c r="AM4" s="19">
        <f t="shared" ref="AM4:AM35" si="9">ROUND((F4*F$84+I4*I$84+J4*J$84)*C$88,0)</f>
        <v>0</v>
      </c>
      <c r="AN4" s="19">
        <f t="shared" ref="AN4:AN35" si="10">ROUND((Q4*Q$84)*C$88,0)+ROUND((T4*T$84)*C$88,0)+ROUND((R4*R$84)*C$88,0)</f>
        <v>0</v>
      </c>
      <c r="AO4" s="19">
        <f t="shared" ref="AO4:AO35" si="11">ROUND(D4*Y4*C$88,0)</f>
        <v>14632</v>
      </c>
      <c r="AP4" s="19">
        <f>ROUND(D4*C$88*AP$84,0)</f>
        <v>16440</v>
      </c>
      <c r="AQ4" s="19">
        <f>SUM(AL4:AP4)</f>
        <v>215200</v>
      </c>
      <c r="AR4" s="19">
        <f>ROUND(MAX(U4*C$89,BB4),0)</f>
        <v>71164</v>
      </c>
      <c r="AS4" s="19">
        <f>ROUND(MAX(U4*C$90,BC4),0)</f>
        <v>9598</v>
      </c>
      <c r="AT4" s="19">
        <f>ROUND((SUM(C4:J4)+K4+L4+M4+SUM(N4:O4)/5+Q4+SUM(R4:S4)/5)*C$91,0)</f>
        <v>37791</v>
      </c>
      <c r="AU4" s="19">
        <f t="shared" ref="AU4:AU35" si="12">ROUND((C4+D4+E4+F4+G4+I4)*C$92,0)</f>
        <v>115850</v>
      </c>
      <c r="AV4" s="19">
        <f t="shared" ref="AV4:AV35" si="13">ROUND((E4*E$85+F4*F$85+G4*G$85+H4*H$85+I4*I$85+J4*J$85)*C$93,0)+ROUND((V4*V$85)*C$93,0)+ROUND((W4*W$85+X4*X$85)*C$93,0)</f>
        <v>41580</v>
      </c>
      <c r="AW4" s="19">
        <f t="shared" ref="AW4:AW35" si="14">ROUND((C4+E4+G4+H4+K4)*AB4*C$94,0)</f>
        <v>8293</v>
      </c>
      <c r="AX4" s="19">
        <f t="shared" ref="AX4:AX35" si="15">AJ4+AQ4+AR4+AS4+AT4+AU4+AV4+AW4</f>
        <v>2435113</v>
      </c>
      <c r="AY4" s="19">
        <v>1921879</v>
      </c>
      <c r="AZ4" s="19">
        <f t="shared" ref="AZ4:AZ35" si="16">AX4-AY4</f>
        <v>513234</v>
      </c>
      <c r="BB4" s="19">
        <v>71164</v>
      </c>
      <c r="BC4" s="19">
        <v>9598</v>
      </c>
      <c r="BD4" s="2"/>
      <c r="BE4" s="94">
        <v>43</v>
      </c>
      <c r="BF4" s="94">
        <v>1.0069999999999999</v>
      </c>
    </row>
    <row r="5" spans="1:58" ht="14.4" x14ac:dyDescent="0.25">
      <c r="A5" s="28" t="s">
        <v>69</v>
      </c>
      <c r="B5" s="29" t="s">
        <v>488</v>
      </c>
      <c r="C5" s="66">
        <v>1801</v>
      </c>
      <c r="D5" s="66">
        <v>0</v>
      </c>
      <c r="E5" s="66">
        <v>57</v>
      </c>
      <c r="F5" s="66">
        <v>0</v>
      </c>
      <c r="G5" s="66">
        <v>14</v>
      </c>
      <c r="H5" s="66">
        <v>2</v>
      </c>
      <c r="I5" s="66">
        <v>0</v>
      </c>
      <c r="J5" s="66">
        <v>0</v>
      </c>
      <c r="K5" s="66">
        <v>3</v>
      </c>
      <c r="L5" s="29"/>
      <c r="M5" s="66">
        <v>0</v>
      </c>
      <c r="N5" s="29"/>
      <c r="O5" s="66">
        <v>0</v>
      </c>
      <c r="P5" s="66">
        <v>0</v>
      </c>
      <c r="Q5" s="66">
        <v>0</v>
      </c>
      <c r="R5" s="66">
        <v>0</v>
      </c>
      <c r="S5" s="66">
        <v>0</v>
      </c>
      <c r="T5" s="66">
        <v>0</v>
      </c>
      <c r="U5" s="66">
        <f t="shared" ref="U5:U68" si="17">SUM(C5:T5)-P5-T5</f>
        <v>1877</v>
      </c>
      <c r="V5" s="66">
        <v>0</v>
      </c>
      <c r="W5" s="66">
        <v>0</v>
      </c>
      <c r="X5" s="66">
        <v>0</v>
      </c>
      <c r="Y5" s="69">
        <f t="shared" si="0"/>
        <v>0</v>
      </c>
      <c r="Z5" s="66">
        <v>1853</v>
      </c>
      <c r="AA5" s="66">
        <f t="shared" si="1"/>
        <v>2313</v>
      </c>
      <c r="AB5" s="69">
        <v>1</v>
      </c>
      <c r="AC5" s="66">
        <f t="shared" si="2"/>
        <v>3947792</v>
      </c>
      <c r="AD5" s="92">
        <f t="shared" si="3"/>
        <v>390176</v>
      </c>
      <c r="AE5" s="66">
        <f t="shared" si="4"/>
        <v>3485</v>
      </c>
      <c r="AF5" s="66">
        <f t="shared" si="5"/>
        <v>0</v>
      </c>
      <c r="AG5" s="66"/>
      <c r="AH5" s="66">
        <f t="shared" si="6"/>
        <v>0</v>
      </c>
      <c r="AI5" s="66"/>
      <c r="AJ5" s="19">
        <f t="shared" si="7"/>
        <v>4341453</v>
      </c>
      <c r="AK5" s="29">
        <f t="shared" si="8"/>
        <v>1.1200000000000001</v>
      </c>
      <c r="AL5" s="66">
        <f t="shared" ref="AL5:AL68" si="18">ROUND((D5+L5)*AK5*C$88,0)</f>
        <v>0</v>
      </c>
      <c r="AM5" s="19">
        <f t="shared" si="9"/>
        <v>0</v>
      </c>
      <c r="AN5" s="19">
        <f t="shared" si="10"/>
        <v>0</v>
      </c>
      <c r="AO5" s="19">
        <f t="shared" si="11"/>
        <v>0</v>
      </c>
      <c r="AP5" s="19"/>
      <c r="AQ5" s="19">
        <f t="shared" ref="AQ5:AQ68" si="19">SUM(AL5:AP5)</f>
        <v>0</v>
      </c>
      <c r="AR5" s="19">
        <f t="shared" ref="AR5:AR36" si="20">MAX(U5*C$89,BB5)</f>
        <v>172684</v>
      </c>
      <c r="AS5" s="19">
        <f t="shared" ref="AS5:AS36" si="21">MAX(U5*C$90,BC5)</f>
        <v>22524</v>
      </c>
      <c r="AT5" s="19">
        <f t="shared" ref="AT5:AT68" si="22">ROUND((SUM(C5:J5)+K5+L5+M5+SUM(N5:O5)/5+Q5+SUM(R5:S5)/5)*C$91,0)</f>
        <v>106989</v>
      </c>
      <c r="AU5" s="19">
        <f t="shared" si="12"/>
        <v>327600</v>
      </c>
      <c r="AV5" s="19">
        <f t="shared" si="13"/>
        <v>143748</v>
      </c>
      <c r="AW5" s="19">
        <f t="shared" si="14"/>
        <v>18020</v>
      </c>
      <c r="AX5" s="19">
        <f t="shared" si="15"/>
        <v>5133018</v>
      </c>
      <c r="AY5" s="19">
        <v>4113389</v>
      </c>
      <c r="AZ5" s="19">
        <f t="shared" si="16"/>
        <v>1019629</v>
      </c>
      <c r="BB5" s="19">
        <v>108839</v>
      </c>
      <c r="BC5" s="19">
        <v>14128</v>
      </c>
      <c r="BD5" s="2"/>
      <c r="BE5" s="94">
        <v>44</v>
      </c>
      <c r="BF5" s="94">
        <v>1.02</v>
      </c>
    </row>
    <row r="6" spans="1:58" ht="14.4" x14ac:dyDescent="0.25">
      <c r="A6" s="28" t="s">
        <v>69</v>
      </c>
      <c r="B6" s="29" t="s">
        <v>486</v>
      </c>
      <c r="C6" s="66">
        <v>702</v>
      </c>
      <c r="D6" s="66">
        <v>94</v>
      </c>
      <c r="E6" s="66">
        <v>37</v>
      </c>
      <c r="F6" s="66">
        <v>0</v>
      </c>
      <c r="G6" s="66">
        <v>12</v>
      </c>
      <c r="H6" s="66">
        <v>1</v>
      </c>
      <c r="I6" s="66">
        <v>0</v>
      </c>
      <c r="J6" s="66">
        <v>0</v>
      </c>
      <c r="K6" s="66">
        <v>0</v>
      </c>
      <c r="L6" s="29"/>
      <c r="M6" s="66">
        <v>0</v>
      </c>
      <c r="N6" s="29"/>
      <c r="O6" s="66">
        <v>0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f t="shared" si="17"/>
        <v>846</v>
      </c>
      <c r="V6" s="66">
        <v>0</v>
      </c>
      <c r="W6" s="66">
        <v>0</v>
      </c>
      <c r="X6" s="66">
        <v>0</v>
      </c>
      <c r="Y6" s="69">
        <f t="shared" si="0"/>
        <v>7.8999999999999959E-2</v>
      </c>
      <c r="Z6" s="66">
        <v>2481</v>
      </c>
      <c r="AA6" s="66">
        <f t="shared" si="1"/>
        <v>3092</v>
      </c>
      <c r="AB6" s="69">
        <v>1.36</v>
      </c>
      <c r="AC6" s="66">
        <f t="shared" si="2"/>
        <v>2092746</v>
      </c>
      <c r="AD6" s="92">
        <f t="shared" si="3"/>
        <v>276192</v>
      </c>
      <c r="AE6" s="66">
        <f t="shared" si="4"/>
        <v>0</v>
      </c>
      <c r="AF6" s="66">
        <f t="shared" si="5"/>
        <v>0</v>
      </c>
      <c r="AG6" s="66"/>
      <c r="AH6" s="66">
        <f t="shared" si="6"/>
        <v>0</v>
      </c>
      <c r="AI6" s="66"/>
      <c r="AJ6" s="19">
        <f t="shared" si="7"/>
        <v>2368938</v>
      </c>
      <c r="AK6" s="29">
        <f t="shared" si="8"/>
        <v>1.1200000000000001</v>
      </c>
      <c r="AL6" s="66">
        <f t="shared" si="18"/>
        <v>230774</v>
      </c>
      <c r="AM6" s="19">
        <f t="shared" si="9"/>
        <v>0</v>
      </c>
      <c r="AN6" s="19">
        <f t="shared" si="10"/>
        <v>0</v>
      </c>
      <c r="AO6" s="19">
        <f t="shared" si="11"/>
        <v>16278</v>
      </c>
      <c r="AP6" s="19"/>
      <c r="AQ6" s="19">
        <f t="shared" si="19"/>
        <v>247052</v>
      </c>
      <c r="AR6" s="19">
        <f t="shared" si="20"/>
        <v>77832</v>
      </c>
      <c r="AS6" s="19">
        <f t="shared" si="21"/>
        <v>10152</v>
      </c>
      <c r="AT6" s="19">
        <f t="shared" si="22"/>
        <v>48222</v>
      </c>
      <c r="AU6" s="19">
        <f t="shared" si="12"/>
        <v>147875</v>
      </c>
      <c r="AV6" s="19">
        <f t="shared" si="13"/>
        <v>105732</v>
      </c>
      <c r="AW6" s="19">
        <f t="shared" si="14"/>
        <v>9819</v>
      </c>
      <c r="AX6" s="19">
        <f t="shared" si="15"/>
        <v>3015622</v>
      </c>
      <c r="AY6" s="19">
        <v>2384311</v>
      </c>
      <c r="AZ6" s="19">
        <f t="shared" si="16"/>
        <v>631311</v>
      </c>
      <c r="BB6" s="19">
        <v>58243</v>
      </c>
      <c r="BC6" s="19">
        <v>6951</v>
      </c>
      <c r="BD6" s="2"/>
      <c r="BE6" s="94">
        <v>45</v>
      </c>
      <c r="BF6" s="94">
        <v>1.0329999999999999</v>
      </c>
    </row>
    <row r="7" spans="1:58" ht="14.4" x14ac:dyDescent="0.25">
      <c r="A7" s="28" t="s">
        <v>69</v>
      </c>
      <c r="B7" s="29" t="s">
        <v>81</v>
      </c>
      <c r="C7" s="66">
        <v>1300</v>
      </c>
      <c r="D7" s="66">
        <v>174</v>
      </c>
      <c r="E7" s="66">
        <v>95</v>
      </c>
      <c r="F7" s="66">
        <v>0</v>
      </c>
      <c r="G7" s="66">
        <v>38</v>
      </c>
      <c r="H7" s="66">
        <v>0</v>
      </c>
      <c r="I7" s="66">
        <v>0</v>
      </c>
      <c r="J7" s="66">
        <v>0</v>
      </c>
      <c r="K7" s="66">
        <v>7</v>
      </c>
      <c r="L7" s="29"/>
      <c r="M7" s="66">
        <v>21</v>
      </c>
      <c r="N7" s="29"/>
      <c r="O7" s="66">
        <v>0</v>
      </c>
      <c r="P7" s="66">
        <v>0</v>
      </c>
      <c r="Q7" s="66">
        <v>73</v>
      </c>
      <c r="R7" s="66">
        <v>0</v>
      </c>
      <c r="S7" s="66">
        <v>0</v>
      </c>
      <c r="T7" s="66">
        <v>0</v>
      </c>
      <c r="U7" s="66">
        <f t="shared" si="17"/>
        <v>1708</v>
      </c>
      <c r="V7" s="66">
        <v>0</v>
      </c>
      <c r="W7" s="66">
        <v>0</v>
      </c>
      <c r="X7" s="66">
        <v>0</v>
      </c>
      <c r="Y7" s="69">
        <f t="shared" si="0"/>
        <v>4.0999999999999925E-2</v>
      </c>
      <c r="Z7" s="66">
        <v>2081</v>
      </c>
      <c r="AA7" s="66">
        <f t="shared" si="1"/>
        <v>2551</v>
      </c>
      <c r="AB7" s="69">
        <v>1.03</v>
      </c>
      <c r="AC7" s="66">
        <f t="shared" si="2"/>
        <v>2935088</v>
      </c>
      <c r="AD7" s="92">
        <f t="shared" si="3"/>
        <v>749664</v>
      </c>
      <c r="AE7" s="66">
        <f t="shared" si="4"/>
        <v>8132</v>
      </c>
      <c r="AF7" s="66">
        <f t="shared" si="5"/>
        <v>46032</v>
      </c>
      <c r="AG7" s="66"/>
      <c r="AH7" s="66">
        <f t="shared" si="6"/>
        <v>0</v>
      </c>
      <c r="AI7" s="66"/>
      <c r="AJ7" s="19">
        <f t="shared" si="7"/>
        <v>3738916</v>
      </c>
      <c r="AK7" s="29">
        <f t="shared" si="8"/>
        <v>1.1200000000000001</v>
      </c>
      <c r="AL7" s="66">
        <f t="shared" si="18"/>
        <v>427177</v>
      </c>
      <c r="AM7" s="19">
        <f t="shared" si="9"/>
        <v>0</v>
      </c>
      <c r="AN7" s="19">
        <f t="shared" si="10"/>
        <v>137614</v>
      </c>
      <c r="AO7" s="19">
        <f t="shared" si="11"/>
        <v>15638</v>
      </c>
      <c r="AP7" s="19">
        <f>ROUND(D7*C$88*AP$84,0)</f>
        <v>38141</v>
      </c>
      <c r="AQ7" s="19">
        <f t="shared" si="19"/>
        <v>618570</v>
      </c>
      <c r="AR7" s="19">
        <f t="shared" si="20"/>
        <v>157136</v>
      </c>
      <c r="AS7" s="19">
        <f t="shared" si="21"/>
        <v>20496</v>
      </c>
      <c r="AT7" s="19">
        <f t="shared" si="22"/>
        <v>97356</v>
      </c>
      <c r="AU7" s="19">
        <f t="shared" si="12"/>
        <v>281225</v>
      </c>
      <c r="AV7" s="19">
        <f t="shared" si="13"/>
        <v>293436</v>
      </c>
      <c r="AW7" s="19">
        <f t="shared" si="14"/>
        <v>14239</v>
      </c>
      <c r="AX7" s="19">
        <f t="shared" si="15"/>
        <v>5221374</v>
      </c>
      <c r="AY7" s="19">
        <v>4291085</v>
      </c>
      <c r="AZ7" s="19">
        <f t="shared" si="16"/>
        <v>930289</v>
      </c>
      <c r="BB7" s="19">
        <v>103926</v>
      </c>
      <c r="BC7" s="19">
        <v>18836</v>
      </c>
      <c r="BD7" s="2"/>
      <c r="BE7" s="94">
        <v>46</v>
      </c>
      <c r="BF7" s="94">
        <v>1.046</v>
      </c>
    </row>
    <row r="8" spans="1:58" ht="14.4" x14ac:dyDescent="0.25">
      <c r="A8" s="28" t="s">
        <v>69</v>
      </c>
      <c r="B8" s="29" t="s">
        <v>480</v>
      </c>
      <c r="C8" s="66">
        <v>818</v>
      </c>
      <c r="D8" s="66">
        <v>115</v>
      </c>
      <c r="E8" s="66">
        <v>28</v>
      </c>
      <c r="F8" s="66">
        <v>0</v>
      </c>
      <c r="G8" s="66">
        <v>5</v>
      </c>
      <c r="H8" s="66">
        <v>1</v>
      </c>
      <c r="I8" s="66">
        <v>0</v>
      </c>
      <c r="J8" s="66">
        <v>0</v>
      </c>
      <c r="K8" s="66">
        <v>0</v>
      </c>
      <c r="L8" s="29"/>
      <c r="M8" s="66">
        <v>0</v>
      </c>
      <c r="N8" s="29"/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6">
        <v>0</v>
      </c>
      <c r="U8" s="66">
        <f t="shared" si="17"/>
        <v>967</v>
      </c>
      <c r="V8" s="66">
        <v>0</v>
      </c>
      <c r="W8" s="66">
        <v>0</v>
      </c>
      <c r="X8" s="66">
        <v>0</v>
      </c>
      <c r="Y8" s="69">
        <f t="shared" si="0"/>
        <v>6.899999999999995E-2</v>
      </c>
      <c r="Z8" s="66">
        <v>1914</v>
      </c>
      <c r="AA8" s="66">
        <f t="shared" si="1"/>
        <v>2401</v>
      </c>
      <c r="AB8" s="69">
        <v>1.03</v>
      </c>
      <c r="AC8" s="66">
        <f t="shared" si="2"/>
        <v>1846848</v>
      </c>
      <c r="AD8" s="92">
        <f t="shared" si="3"/>
        <v>175360</v>
      </c>
      <c r="AE8" s="66">
        <f t="shared" si="4"/>
        <v>0</v>
      </c>
      <c r="AF8" s="66">
        <f t="shared" si="5"/>
        <v>0</v>
      </c>
      <c r="AG8" s="66"/>
      <c r="AH8" s="66">
        <f t="shared" si="6"/>
        <v>0</v>
      </c>
      <c r="AI8" s="66"/>
      <c r="AJ8" s="19">
        <f t="shared" si="7"/>
        <v>2022208</v>
      </c>
      <c r="AK8" s="29">
        <f t="shared" si="8"/>
        <v>1.1200000000000001</v>
      </c>
      <c r="AL8" s="66">
        <f t="shared" si="18"/>
        <v>282330</v>
      </c>
      <c r="AM8" s="19">
        <f t="shared" si="9"/>
        <v>0</v>
      </c>
      <c r="AN8" s="19">
        <f t="shared" si="10"/>
        <v>0</v>
      </c>
      <c r="AO8" s="19">
        <f t="shared" si="11"/>
        <v>17394</v>
      </c>
      <c r="AP8" s="19"/>
      <c r="AQ8" s="19">
        <f t="shared" si="19"/>
        <v>299724</v>
      </c>
      <c r="AR8" s="19">
        <f t="shared" si="20"/>
        <v>88964</v>
      </c>
      <c r="AS8" s="19">
        <f t="shared" si="21"/>
        <v>11604</v>
      </c>
      <c r="AT8" s="19">
        <f t="shared" si="22"/>
        <v>55119</v>
      </c>
      <c r="AU8" s="19">
        <f t="shared" si="12"/>
        <v>169050</v>
      </c>
      <c r="AV8" s="19">
        <f t="shared" si="13"/>
        <v>61776</v>
      </c>
      <c r="AW8" s="19">
        <f t="shared" si="14"/>
        <v>8425</v>
      </c>
      <c r="AX8" s="19">
        <f t="shared" si="15"/>
        <v>2716870</v>
      </c>
      <c r="AY8" s="19">
        <v>2188951</v>
      </c>
      <c r="AZ8" s="19">
        <f t="shared" si="16"/>
        <v>527919</v>
      </c>
      <c r="BB8" s="19">
        <v>47533</v>
      </c>
      <c r="BC8" s="19">
        <v>6979</v>
      </c>
      <c r="BD8" s="2"/>
      <c r="BE8" s="94">
        <v>47</v>
      </c>
      <c r="BF8" s="94">
        <v>1.0569999999999999</v>
      </c>
    </row>
    <row r="9" spans="1:58" ht="14.4" x14ac:dyDescent="0.25">
      <c r="A9" s="28" t="s">
        <v>69</v>
      </c>
      <c r="B9" s="29" t="s">
        <v>478</v>
      </c>
      <c r="C9" s="66">
        <v>853</v>
      </c>
      <c r="D9" s="66">
        <v>124</v>
      </c>
      <c r="E9" s="66">
        <v>53</v>
      </c>
      <c r="F9" s="66">
        <v>0</v>
      </c>
      <c r="G9" s="66">
        <v>17</v>
      </c>
      <c r="H9" s="66">
        <v>0</v>
      </c>
      <c r="I9" s="66">
        <v>0</v>
      </c>
      <c r="J9" s="66">
        <v>0</v>
      </c>
      <c r="K9" s="66">
        <v>1</v>
      </c>
      <c r="L9" s="29"/>
      <c r="M9" s="66">
        <v>0</v>
      </c>
      <c r="N9" s="29"/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f t="shared" si="17"/>
        <v>1048</v>
      </c>
      <c r="V9" s="66">
        <v>0</v>
      </c>
      <c r="W9" s="66">
        <v>0</v>
      </c>
      <c r="X9" s="66">
        <v>0</v>
      </c>
      <c r="Y9" s="69">
        <f t="shared" si="0"/>
        <v>6.4999999999999947E-2</v>
      </c>
      <c r="Z9" s="66">
        <v>2415</v>
      </c>
      <c r="AA9" s="66">
        <f t="shared" si="1"/>
        <v>2992</v>
      </c>
      <c r="AB9" s="69">
        <v>1.3</v>
      </c>
      <c r="AC9" s="66">
        <f t="shared" si="2"/>
        <v>2430709</v>
      </c>
      <c r="AD9" s="92">
        <f t="shared" si="3"/>
        <v>381408</v>
      </c>
      <c r="AE9" s="66">
        <f t="shared" si="4"/>
        <v>1162</v>
      </c>
      <c r="AF9" s="66">
        <f t="shared" si="5"/>
        <v>0</v>
      </c>
      <c r="AG9" s="66"/>
      <c r="AH9" s="66">
        <f t="shared" si="6"/>
        <v>0</v>
      </c>
      <c r="AI9" s="66"/>
      <c r="AJ9" s="19">
        <f t="shared" si="7"/>
        <v>2813279</v>
      </c>
      <c r="AK9" s="29">
        <f t="shared" si="8"/>
        <v>1.1200000000000001</v>
      </c>
      <c r="AL9" s="66">
        <f t="shared" si="18"/>
        <v>304425</v>
      </c>
      <c r="AM9" s="19">
        <f t="shared" si="9"/>
        <v>0</v>
      </c>
      <c r="AN9" s="19">
        <f t="shared" si="10"/>
        <v>0</v>
      </c>
      <c r="AO9" s="19">
        <f t="shared" si="11"/>
        <v>17668</v>
      </c>
      <c r="AP9" s="19"/>
      <c r="AQ9" s="19">
        <f t="shared" si="19"/>
        <v>322093</v>
      </c>
      <c r="AR9" s="19">
        <f t="shared" si="20"/>
        <v>96416</v>
      </c>
      <c r="AS9" s="19">
        <f t="shared" si="21"/>
        <v>12576</v>
      </c>
      <c r="AT9" s="19">
        <f t="shared" si="22"/>
        <v>59736</v>
      </c>
      <c r="AU9" s="19">
        <f t="shared" si="12"/>
        <v>183225</v>
      </c>
      <c r="AV9" s="19">
        <f t="shared" si="13"/>
        <v>143748</v>
      </c>
      <c r="AW9" s="19">
        <f t="shared" si="14"/>
        <v>11532</v>
      </c>
      <c r="AX9" s="19">
        <f t="shared" si="15"/>
        <v>3642605</v>
      </c>
      <c r="AY9" s="19">
        <v>2783375</v>
      </c>
      <c r="AZ9" s="19">
        <f t="shared" si="16"/>
        <v>859230</v>
      </c>
      <c r="BB9" s="19">
        <v>92119</v>
      </c>
      <c r="BC9" s="19">
        <v>11612</v>
      </c>
      <c r="BD9" s="2"/>
      <c r="BE9" s="94">
        <v>48</v>
      </c>
      <c r="BF9" s="94">
        <v>1.069</v>
      </c>
    </row>
    <row r="10" spans="1:58" ht="14.4" x14ac:dyDescent="0.25">
      <c r="A10" s="28" t="s">
        <v>69</v>
      </c>
      <c r="B10" s="29" t="s">
        <v>476</v>
      </c>
      <c r="C10" s="66">
        <v>690</v>
      </c>
      <c r="D10" s="66">
        <v>117</v>
      </c>
      <c r="E10" s="66">
        <v>29</v>
      </c>
      <c r="F10" s="66">
        <v>0</v>
      </c>
      <c r="G10" s="66">
        <v>11</v>
      </c>
      <c r="H10" s="66">
        <v>2</v>
      </c>
      <c r="I10" s="66">
        <v>0</v>
      </c>
      <c r="J10" s="66">
        <v>0</v>
      </c>
      <c r="K10" s="66">
        <v>2</v>
      </c>
      <c r="L10" s="29"/>
      <c r="M10" s="66">
        <v>0</v>
      </c>
      <c r="N10" s="29"/>
      <c r="O10" s="66">
        <v>0</v>
      </c>
      <c r="P10" s="66">
        <v>0</v>
      </c>
      <c r="Q10" s="66">
        <v>0</v>
      </c>
      <c r="R10" s="66">
        <v>0</v>
      </c>
      <c r="S10" s="66">
        <v>0</v>
      </c>
      <c r="T10" s="66">
        <v>0</v>
      </c>
      <c r="U10" s="66">
        <f t="shared" si="17"/>
        <v>851</v>
      </c>
      <c r="V10" s="66">
        <v>0</v>
      </c>
      <c r="W10" s="66">
        <v>0</v>
      </c>
      <c r="X10" s="66">
        <v>0</v>
      </c>
      <c r="Y10" s="69">
        <f t="shared" si="0"/>
        <v>6.800000000000006E-2</v>
      </c>
      <c r="Z10" s="66">
        <v>2274</v>
      </c>
      <c r="AA10" s="66">
        <f t="shared" si="1"/>
        <v>2848</v>
      </c>
      <c r="AB10" s="69">
        <v>1.24</v>
      </c>
      <c r="AC10" s="66">
        <f t="shared" si="2"/>
        <v>1875475</v>
      </c>
      <c r="AD10" s="92">
        <f t="shared" si="3"/>
        <v>241120</v>
      </c>
      <c r="AE10" s="66">
        <f t="shared" si="4"/>
        <v>2324</v>
      </c>
      <c r="AF10" s="66">
        <f t="shared" si="5"/>
        <v>0</v>
      </c>
      <c r="AG10" s="66"/>
      <c r="AH10" s="66">
        <f t="shared" si="6"/>
        <v>0</v>
      </c>
      <c r="AI10" s="66"/>
      <c r="AJ10" s="19">
        <f t="shared" si="7"/>
        <v>2118919</v>
      </c>
      <c r="AK10" s="29">
        <f t="shared" si="8"/>
        <v>1.1200000000000001</v>
      </c>
      <c r="AL10" s="66">
        <f t="shared" si="18"/>
        <v>287240</v>
      </c>
      <c r="AM10" s="19">
        <f t="shared" si="9"/>
        <v>0</v>
      </c>
      <c r="AN10" s="19">
        <f t="shared" si="10"/>
        <v>0</v>
      </c>
      <c r="AO10" s="19">
        <f t="shared" si="11"/>
        <v>17440</v>
      </c>
      <c r="AP10" s="19"/>
      <c r="AQ10" s="19">
        <f t="shared" si="19"/>
        <v>304680</v>
      </c>
      <c r="AR10" s="19">
        <f t="shared" si="20"/>
        <v>78292</v>
      </c>
      <c r="AS10" s="19">
        <f t="shared" si="21"/>
        <v>10747</v>
      </c>
      <c r="AT10" s="19">
        <f t="shared" si="22"/>
        <v>48507</v>
      </c>
      <c r="AU10" s="19">
        <f t="shared" si="12"/>
        <v>148225</v>
      </c>
      <c r="AV10" s="19">
        <f t="shared" si="13"/>
        <v>96228</v>
      </c>
      <c r="AW10" s="19">
        <f t="shared" si="14"/>
        <v>8738</v>
      </c>
      <c r="AX10" s="19">
        <f t="shared" si="15"/>
        <v>2814336</v>
      </c>
      <c r="AY10" s="19">
        <v>2315840</v>
      </c>
      <c r="AZ10" s="19">
        <f t="shared" si="16"/>
        <v>498496</v>
      </c>
      <c r="BB10" s="19">
        <v>74932</v>
      </c>
      <c r="BC10" s="19">
        <v>10747</v>
      </c>
      <c r="BD10" s="2"/>
      <c r="BE10" s="94">
        <v>49</v>
      </c>
      <c r="BF10" s="94">
        <v>1.08</v>
      </c>
    </row>
    <row r="11" spans="1:58" ht="14.4" x14ac:dyDescent="0.25">
      <c r="A11" s="28" t="s">
        <v>69</v>
      </c>
      <c r="B11" s="29" t="s">
        <v>83</v>
      </c>
      <c r="C11" s="66">
        <v>203</v>
      </c>
      <c r="D11" s="66">
        <v>32</v>
      </c>
      <c r="E11" s="66">
        <v>9</v>
      </c>
      <c r="F11" s="66">
        <v>0</v>
      </c>
      <c r="G11" s="66">
        <v>2</v>
      </c>
      <c r="H11" s="66">
        <v>0</v>
      </c>
      <c r="I11" s="66">
        <v>0</v>
      </c>
      <c r="J11" s="66">
        <v>0</v>
      </c>
      <c r="K11" s="66">
        <v>0</v>
      </c>
      <c r="L11" s="29"/>
      <c r="M11" s="66">
        <v>0</v>
      </c>
      <c r="N11" s="29"/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f t="shared" si="17"/>
        <v>246</v>
      </c>
      <c r="V11" s="66">
        <v>0</v>
      </c>
      <c r="W11" s="66">
        <v>0</v>
      </c>
      <c r="X11" s="66">
        <v>0</v>
      </c>
      <c r="Y11" s="69">
        <f t="shared" si="0"/>
        <v>0</v>
      </c>
      <c r="Z11" s="66">
        <v>2689</v>
      </c>
      <c r="AA11" s="66">
        <f t="shared" si="1"/>
        <v>3329</v>
      </c>
      <c r="AB11" s="69">
        <v>1.52</v>
      </c>
      <c r="AC11" s="66">
        <f t="shared" si="2"/>
        <v>676364</v>
      </c>
      <c r="AD11" s="92">
        <f t="shared" si="3"/>
        <v>56992</v>
      </c>
      <c r="AE11" s="66">
        <f t="shared" si="4"/>
        <v>0</v>
      </c>
      <c r="AF11" s="66">
        <f t="shared" si="5"/>
        <v>0</v>
      </c>
      <c r="AG11" s="66"/>
      <c r="AH11" s="66">
        <f t="shared" si="6"/>
        <v>0</v>
      </c>
      <c r="AI11" s="66"/>
      <c r="AJ11" s="19">
        <f t="shared" si="7"/>
        <v>733356</v>
      </c>
      <c r="AK11" s="29">
        <f t="shared" si="8"/>
        <v>1.1200000000000001</v>
      </c>
      <c r="AL11" s="66">
        <f t="shared" si="18"/>
        <v>78561</v>
      </c>
      <c r="AM11" s="19">
        <f t="shared" si="9"/>
        <v>0</v>
      </c>
      <c r="AN11" s="19">
        <f t="shared" si="10"/>
        <v>0</v>
      </c>
      <c r="AO11" s="19">
        <f t="shared" si="11"/>
        <v>0</v>
      </c>
      <c r="AP11" s="19">
        <f>ROUND(D11*C$88*AP$84,0)</f>
        <v>7014</v>
      </c>
      <c r="AQ11" s="19">
        <f t="shared" si="19"/>
        <v>85575</v>
      </c>
      <c r="AR11" s="19">
        <f t="shared" si="20"/>
        <v>34199</v>
      </c>
      <c r="AS11" s="19">
        <f t="shared" si="21"/>
        <v>6498</v>
      </c>
      <c r="AT11" s="19">
        <f t="shared" si="22"/>
        <v>14022</v>
      </c>
      <c r="AU11" s="19">
        <f t="shared" si="12"/>
        <v>43050</v>
      </c>
      <c r="AV11" s="19">
        <f t="shared" si="13"/>
        <v>20196</v>
      </c>
      <c r="AW11" s="19">
        <f t="shared" si="14"/>
        <v>3123</v>
      </c>
      <c r="AX11" s="19">
        <f t="shared" si="15"/>
        <v>940019</v>
      </c>
      <c r="AY11" s="19">
        <v>794372</v>
      </c>
      <c r="AZ11" s="19">
        <f t="shared" si="16"/>
        <v>145647</v>
      </c>
      <c r="BB11" s="19">
        <v>34199</v>
      </c>
      <c r="BC11" s="19">
        <v>6498</v>
      </c>
      <c r="BD11" s="2"/>
      <c r="BE11" s="94">
        <v>50</v>
      </c>
      <c r="BF11" s="94">
        <v>1.0900000000000001</v>
      </c>
    </row>
    <row r="12" spans="1:58" ht="14.4" x14ac:dyDescent="0.25">
      <c r="A12" s="28" t="s">
        <v>69</v>
      </c>
      <c r="B12" s="29" t="s">
        <v>605</v>
      </c>
      <c r="C12" s="66">
        <v>1033</v>
      </c>
      <c r="D12" s="66">
        <v>83</v>
      </c>
      <c r="E12" s="66">
        <v>75</v>
      </c>
      <c r="F12" s="66">
        <v>0</v>
      </c>
      <c r="G12" s="66">
        <v>31</v>
      </c>
      <c r="H12" s="66">
        <v>2</v>
      </c>
      <c r="I12" s="66">
        <v>0</v>
      </c>
      <c r="J12" s="66">
        <v>0</v>
      </c>
      <c r="K12" s="66">
        <v>12</v>
      </c>
      <c r="L12" s="29"/>
      <c r="M12" s="66">
        <v>0</v>
      </c>
      <c r="N12" s="29"/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f t="shared" si="17"/>
        <v>1236</v>
      </c>
      <c r="V12" s="66">
        <v>0</v>
      </c>
      <c r="W12" s="66">
        <v>0</v>
      </c>
      <c r="X12" s="66">
        <v>0</v>
      </c>
      <c r="Y12" s="69">
        <f t="shared" si="0"/>
        <v>8.4999999999999964E-2</v>
      </c>
      <c r="Z12" s="66">
        <v>2820</v>
      </c>
      <c r="AA12" s="66">
        <f t="shared" si="1"/>
        <v>3516</v>
      </c>
      <c r="AB12" s="69">
        <v>1.5349999999999999</v>
      </c>
      <c r="AC12" s="66">
        <f t="shared" si="2"/>
        <v>3475756</v>
      </c>
      <c r="AD12" s="92">
        <f t="shared" si="3"/>
        <v>618144</v>
      </c>
      <c r="AE12" s="66">
        <f t="shared" si="4"/>
        <v>13941</v>
      </c>
      <c r="AF12" s="66">
        <f t="shared" si="5"/>
        <v>0</v>
      </c>
      <c r="AG12" s="66"/>
      <c r="AH12" s="66">
        <f t="shared" si="6"/>
        <v>0</v>
      </c>
      <c r="AI12" s="66"/>
      <c r="AJ12" s="19">
        <f t="shared" si="7"/>
        <v>4107841</v>
      </c>
      <c r="AK12" s="29">
        <f t="shared" si="8"/>
        <v>1.1200000000000001</v>
      </c>
      <c r="AL12" s="66">
        <f t="shared" si="18"/>
        <v>203768</v>
      </c>
      <c r="AM12" s="19">
        <f t="shared" si="9"/>
        <v>0</v>
      </c>
      <c r="AN12" s="19">
        <f t="shared" si="10"/>
        <v>0</v>
      </c>
      <c r="AO12" s="19">
        <f t="shared" si="11"/>
        <v>15465</v>
      </c>
      <c r="AP12" s="19">
        <f>ROUND(D12*C$88*AP$84,0)</f>
        <v>18194</v>
      </c>
      <c r="AQ12" s="19">
        <f t="shared" si="19"/>
        <v>237427</v>
      </c>
      <c r="AR12" s="19">
        <f t="shared" si="20"/>
        <v>166722</v>
      </c>
      <c r="AS12" s="19">
        <f t="shared" si="21"/>
        <v>18484</v>
      </c>
      <c r="AT12" s="19">
        <f t="shared" si="22"/>
        <v>70452</v>
      </c>
      <c r="AU12" s="19">
        <f t="shared" si="12"/>
        <v>213850</v>
      </c>
      <c r="AV12" s="19">
        <f t="shared" si="13"/>
        <v>245916</v>
      </c>
      <c r="AW12" s="19">
        <f t="shared" si="14"/>
        <v>16991</v>
      </c>
      <c r="AX12" s="19">
        <f t="shared" si="15"/>
        <v>5077683</v>
      </c>
      <c r="AY12" s="19">
        <v>3925066</v>
      </c>
      <c r="AZ12" s="19">
        <f t="shared" si="16"/>
        <v>1152617</v>
      </c>
      <c r="BB12" s="19">
        <v>166722</v>
      </c>
      <c r="BC12" s="19">
        <v>18484</v>
      </c>
      <c r="BD12" s="2"/>
      <c r="BE12" s="94">
        <v>51</v>
      </c>
      <c r="BF12" s="94">
        <v>1.1000000000000001</v>
      </c>
    </row>
    <row r="13" spans="1:58" ht="14.4" x14ac:dyDescent="0.25">
      <c r="A13" s="28" t="s">
        <v>69</v>
      </c>
      <c r="B13" s="29" t="s">
        <v>68</v>
      </c>
      <c r="C13" s="66">
        <v>1320</v>
      </c>
      <c r="D13" s="66">
        <v>156</v>
      </c>
      <c r="E13" s="66">
        <v>33</v>
      </c>
      <c r="F13" s="66">
        <v>0</v>
      </c>
      <c r="G13" s="66">
        <v>25</v>
      </c>
      <c r="H13" s="66">
        <v>2</v>
      </c>
      <c r="I13" s="66">
        <v>0</v>
      </c>
      <c r="J13" s="66">
        <v>0</v>
      </c>
      <c r="K13" s="66">
        <v>0</v>
      </c>
      <c r="L13" s="29"/>
      <c r="M13" s="66">
        <v>4</v>
      </c>
      <c r="N13" s="29"/>
      <c r="O13" s="66">
        <v>0</v>
      </c>
      <c r="P13" s="66">
        <v>0</v>
      </c>
      <c r="Q13" s="66">
        <v>95</v>
      </c>
      <c r="R13" s="66">
        <v>0</v>
      </c>
      <c r="S13" s="66">
        <v>0</v>
      </c>
      <c r="T13" s="66">
        <v>0</v>
      </c>
      <c r="U13" s="66">
        <f t="shared" si="17"/>
        <v>1635</v>
      </c>
      <c r="V13" s="66">
        <v>0</v>
      </c>
      <c r="W13" s="66">
        <v>0</v>
      </c>
      <c r="X13" s="66">
        <v>0</v>
      </c>
      <c r="Y13" s="69">
        <f t="shared" si="0"/>
        <v>5.0000000000000044E-2</v>
      </c>
      <c r="Z13" s="66">
        <v>1990</v>
      </c>
      <c r="AA13" s="66">
        <f t="shared" si="1"/>
        <v>2416</v>
      </c>
      <c r="AB13" s="69">
        <v>1.03</v>
      </c>
      <c r="AC13" s="66">
        <f t="shared" si="2"/>
        <v>2980243</v>
      </c>
      <c r="AD13" s="92">
        <f t="shared" si="3"/>
        <v>381408</v>
      </c>
      <c r="AE13" s="66">
        <f t="shared" si="4"/>
        <v>0</v>
      </c>
      <c r="AF13" s="66">
        <f t="shared" si="5"/>
        <v>8768</v>
      </c>
      <c r="AG13" s="66"/>
      <c r="AH13" s="66">
        <f t="shared" si="6"/>
        <v>0</v>
      </c>
      <c r="AI13" s="66"/>
      <c r="AJ13" s="19">
        <f t="shared" si="7"/>
        <v>3370419</v>
      </c>
      <c r="AK13" s="29">
        <f t="shared" si="8"/>
        <v>1.1200000000000001</v>
      </c>
      <c r="AL13" s="66">
        <f t="shared" si="18"/>
        <v>382986</v>
      </c>
      <c r="AM13" s="19">
        <f t="shared" si="9"/>
        <v>0</v>
      </c>
      <c r="AN13" s="19">
        <f t="shared" si="10"/>
        <v>179086</v>
      </c>
      <c r="AO13" s="19">
        <f t="shared" si="11"/>
        <v>17098</v>
      </c>
      <c r="AP13" s="19"/>
      <c r="AQ13" s="19">
        <f t="shared" si="19"/>
        <v>579170</v>
      </c>
      <c r="AR13" s="19">
        <f t="shared" si="20"/>
        <v>150420</v>
      </c>
      <c r="AS13" s="19">
        <f t="shared" si="21"/>
        <v>19620</v>
      </c>
      <c r="AT13" s="19">
        <f t="shared" si="22"/>
        <v>93195</v>
      </c>
      <c r="AU13" s="19">
        <f t="shared" si="12"/>
        <v>268450</v>
      </c>
      <c r="AV13" s="19">
        <f t="shared" si="13"/>
        <v>167508</v>
      </c>
      <c r="AW13" s="19">
        <f t="shared" si="14"/>
        <v>13646</v>
      </c>
      <c r="AX13" s="19">
        <f t="shared" si="15"/>
        <v>4662428</v>
      </c>
      <c r="AY13" s="19">
        <v>3617859</v>
      </c>
      <c r="AZ13" s="19">
        <f t="shared" si="16"/>
        <v>1044569</v>
      </c>
      <c r="BB13" s="19">
        <v>124790</v>
      </c>
      <c r="BC13" s="19">
        <v>17960</v>
      </c>
      <c r="BD13" s="2"/>
      <c r="BE13" s="94">
        <v>52</v>
      </c>
      <c r="BF13" s="94">
        <v>1.1000000000000001</v>
      </c>
    </row>
    <row r="14" spans="1:58" ht="14.4" x14ac:dyDescent="0.25">
      <c r="A14" s="28" t="s">
        <v>69</v>
      </c>
      <c r="B14" s="29" t="s">
        <v>470</v>
      </c>
      <c r="C14" s="66">
        <v>610</v>
      </c>
      <c r="D14" s="66">
        <v>0</v>
      </c>
      <c r="E14" s="66">
        <v>38</v>
      </c>
      <c r="F14" s="66">
        <v>0</v>
      </c>
      <c r="G14" s="66">
        <v>9</v>
      </c>
      <c r="H14" s="66">
        <v>0</v>
      </c>
      <c r="I14" s="66">
        <v>0</v>
      </c>
      <c r="J14" s="66">
        <v>0</v>
      </c>
      <c r="K14" s="66">
        <v>1</v>
      </c>
      <c r="L14" s="29"/>
      <c r="M14" s="66">
        <v>0</v>
      </c>
      <c r="N14" s="29"/>
      <c r="O14" s="66">
        <v>0</v>
      </c>
      <c r="P14" s="66">
        <v>0</v>
      </c>
      <c r="Q14" s="66">
        <v>0</v>
      </c>
      <c r="R14" s="66">
        <v>0</v>
      </c>
      <c r="S14" s="66">
        <v>0</v>
      </c>
      <c r="T14" s="66">
        <v>0</v>
      </c>
      <c r="U14" s="66">
        <f t="shared" si="17"/>
        <v>658</v>
      </c>
      <c r="V14" s="66">
        <v>0</v>
      </c>
      <c r="W14" s="66">
        <v>0</v>
      </c>
      <c r="X14" s="66">
        <v>0</v>
      </c>
      <c r="Y14" s="69">
        <f t="shared" si="0"/>
        <v>0</v>
      </c>
      <c r="Z14" s="66">
        <v>2364</v>
      </c>
      <c r="AA14" s="66">
        <f t="shared" si="1"/>
        <v>3037</v>
      </c>
      <c r="AB14" s="69">
        <v>1.31</v>
      </c>
      <c r="AC14" s="66">
        <f t="shared" si="2"/>
        <v>1751627</v>
      </c>
      <c r="AD14" s="92">
        <f t="shared" si="3"/>
        <v>245504</v>
      </c>
      <c r="AE14" s="66">
        <f t="shared" si="4"/>
        <v>1162</v>
      </c>
      <c r="AF14" s="66">
        <f t="shared" si="5"/>
        <v>0</v>
      </c>
      <c r="AG14" s="66"/>
      <c r="AH14" s="66">
        <f t="shared" si="6"/>
        <v>0</v>
      </c>
      <c r="AI14" s="66"/>
      <c r="AJ14" s="19">
        <f t="shared" si="7"/>
        <v>1998293</v>
      </c>
      <c r="AK14" s="29">
        <f t="shared" si="8"/>
        <v>1.1200000000000001</v>
      </c>
      <c r="AL14" s="66">
        <f t="shared" si="18"/>
        <v>0</v>
      </c>
      <c r="AM14" s="19">
        <f t="shared" si="9"/>
        <v>0</v>
      </c>
      <c r="AN14" s="19">
        <f t="shared" si="10"/>
        <v>0</v>
      </c>
      <c r="AO14" s="19">
        <f t="shared" si="11"/>
        <v>0</v>
      </c>
      <c r="AP14" s="19"/>
      <c r="AQ14" s="19">
        <f t="shared" si="19"/>
        <v>0</v>
      </c>
      <c r="AR14" s="19">
        <f t="shared" si="20"/>
        <v>61068</v>
      </c>
      <c r="AS14" s="19">
        <f t="shared" si="21"/>
        <v>7896</v>
      </c>
      <c r="AT14" s="19">
        <f t="shared" si="22"/>
        <v>37506</v>
      </c>
      <c r="AU14" s="19">
        <f t="shared" si="12"/>
        <v>114975</v>
      </c>
      <c r="AV14" s="19">
        <f t="shared" si="13"/>
        <v>87912</v>
      </c>
      <c r="AW14" s="19">
        <f t="shared" si="14"/>
        <v>8275</v>
      </c>
      <c r="AX14" s="19">
        <f t="shared" si="15"/>
        <v>2315925</v>
      </c>
      <c r="AY14" s="19">
        <v>1836934</v>
      </c>
      <c r="AZ14" s="19">
        <f t="shared" si="16"/>
        <v>478991</v>
      </c>
      <c r="BB14" s="19">
        <v>61068</v>
      </c>
      <c r="BC14" s="19">
        <v>7216</v>
      </c>
      <c r="BD14" s="2"/>
      <c r="BE14" s="94">
        <v>53</v>
      </c>
      <c r="BF14" s="94">
        <v>1.099</v>
      </c>
    </row>
    <row r="15" spans="1:58" ht="14.4" x14ac:dyDescent="0.25">
      <c r="A15" s="28" t="s">
        <v>69</v>
      </c>
      <c r="B15" s="29" t="s">
        <v>468</v>
      </c>
      <c r="C15" s="66">
        <v>3312</v>
      </c>
      <c r="D15" s="66">
        <v>249</v>
      </c>
      <c r="E15" s="66">
        <v>115</v>
      </c>
      <c r="F15" s="66">
        <v>0</v>
      </c>
      <c r="G15" s="66">
        <v>49</v>
      </c>
      <c r="H15" s="66">
        <v>1</v>
      </c>
      <c r="I15" s="66">
        <v>0</v>
      </c>
      <c r="J15" s="66">
        <v>0</v>
      </c>
      <c r="K15" s="66">
        <v>10</v>
      </c>
      <c r="L15" s="29"/>
      <c r="M15" s="66">
        <v>0</v>
      </c>
      <c r="N15" s="29"/>
      <c r="O15" s="66">
        <v>1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f t="shared" si="17"/>
        <v>3737</v>
      </c>
      <c r="V15" s="66">
        <v>0</v>
      </c>
      <c r="W15" s="66">
        <v>0</v>
      </c>
      <c r="X15" s="66">
        <v>0</v>
      </c>
      <c r="Y15" s="69">
        <f t="shared" si="0"/>
        <v>4.9999999999998934E-3</v>
      </c>
      <c r="Z15" s="66">
        <v>1905</v>
      </c>
      <c r="AA15" s="66">
        <f t="shared" si="1"/>
        <v>2362</v>
      </c>
      <c r="AB15" s="69">
        <v>1</v>
      </c>
      <c r="AC15" s="66">
        <f t="shared" si="2"/>
        <v>7259904</v>
      </c>
      <c r="AD15" s="92">
        <f t="shared" si="3"/>
        <v>942560</v>
      </c>
      <c r="AE15" s="66">
        <f t="shared" si="4"/>
        <v>11618</v>
      </c>
      <c r="AF15" s="66">
        <f t="shared" si="5"/>
        <v>0</v>
      </c>
      <c r="AG15" s="66"/>
      <c r="AH15" s="66">
        <f t="shared" si="6"/>
        <v>0</v>
      </c>
      <c r="AI15" s="66"/>
      <c r="AJ15" s="19">
        <f t="shared" si="7"/>
        <v>8214082</v>
      </c>
      <c r="AK15" s="29">
        <f t="shared" si="8"/>
        <v>1.1200000000000001</v>
      </c>
      <c r="AL15" s="66">
        <f t="shared" si="18"/>
        <v>611305</v>
      </c>
      <c r="AM15" s="19">
        <f t="shared" si="9"/>
        <v>0</v>
      </c>
      <c r="AN15" s="19">
        <f t="shared" si="10"/>
        <v>0</v>
      </c>
      <c r="AO15" s="19">
        <f t="shared" si="11"/>
        <v>2729</v>
      </c>
      <c r="AP15" s="19"/>
      <c r="AQ15" s="19">
        <f t="shared" si="19"/>
        <v>614034</v>
      </c>
      <c r="AR15" s="19">
        <f t="shared" si="20"/>
        <v>343804</v>
      </c>
      <c r="AS15" s="19">
        <f t="shared" si="21"/>
        <v>44844</v>
      </c>
      <c r="AT15" s="19">
        <f t="shared" si="22"/>
        <v>212963</v>
      </c>
      <c r="AU15" s="19">
        <f t="shared" si="12"/>
        <v>651875</v>
      </c>
      <c r="AV15" s="19">
        <f t="shared" si="13"/>
        <v>374220</v>
      </c>
      <c r="AW15" s="19">
        <f t="shared" si="14"/>
        <v>33477</v>
      </c>
      <c r="AX15" s="19">
        <f t="shared" si="15"/>
        <v>10489299</v>
      </c>
      <c r="AY15" s="19">
        <v>8422157</v>
      </c>
      <c r="AZ15" s="19">
        <f t="shared" si="16"/>
        <v>2067142</v>
      </c>
      <c r="BB15" s="19">
        <v>151603</v>
      </c>
      <c r="BC15" s="19">
        <v>19426</v>
      </c>
      <c r="BD15" s="2"/>
      <c r="BE15" s="94">
        <v>54</v>
      </c>
      <c r="BF15" s="94">
        <v>1.099</v>
      </c>
    </row>
    <row r="16" spans="1:58" ht="14.4" x14ac:dyDescent="0.25">
      <c r="A16" s="28" t="s">
        <v>69</v>
      </c>
      <c r="B16" s="29" t="s">
        <v>466</v>
      </c>
      <c r="C16" s="66">
        <v>1427</v>
      </c>
      <c r="D16" s="66">
        <v>251</v>
      </c>
      <c r="E16" s="66">
        <v>87</v>
      </c>
      <c r="F16" s="66">
        <v>2</v>
      </c>
      <c r="G16" s="66">
        <v>23</v>
      </c>
      <c r="H16" s="66">
        <v>0</v>
      </c>
      <c r="I16" s="66">
        <v>0</v>
      </c>
      <c r="J16" s="66">
        <v>0</v>
      </c>
      <c r="K16" s="66">
        <v>2</v>
      </c>
      <c r="L16" s="29"/>
      <c r="M16" s="66">
        <v>0</v>
      </c>
      <c r="N16" s="29"/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f t="shared" si="17"/>
        <v>1792</v>
      </c>
      <c r="V16" s="66">
        <v>0</v>
      </c>
      <c r="W16" s="66">
        <v>0</v>
      </c>
      <c r="X16" s="66">
        <v>0</v>
      </c>
      <c r="Y16" s="69">
        <f t="shared" si="0"/>
        <v>0</v>
      </c>
      <c r="Z16" s="66">
        <v>1924</v>
      </c>
      <c r="AA16" s="66">
        <f t="shared" si="1"/>
        <v>2423</v>
      </c>
      <c r="AB16" s="69">
        <v>1</v>
      </c>
      <c r="AC16" s="66">
        <f t="shared" si="2"/>
        <v>3127984</v>
      </c>
      <c r="AD16" s="92">
        <f t="shared" si="3"/>
        <v>583072</v>
      </c>
      <c r="AE16" s="66">
        <f t="shared" si="4"/>
        <v>2324</v>
      </c>
      <c r="AF16" s="66">
        <f t="shared" si="5"/>
        <v>0</v>
      </c>
      <c r="AG16" s="66"/>
      <c r="AH16" s="66">
        <f t="shared" si="6"/>
        <v>0</v>
      </c>
      <c r="AI16" s="66"/>
      <c r="AJ16" s="19">
        <f t="shared" si="7"/>
        <v>3713380</v>
      </c>
      <c r="AK16" s="29">
        <f t="shared" si="8"/>
        <v>1.1200000000000001</v>
      </c>
      <c r="AL16" s="66">
        <f t="shared" si="18"/>
        <v>616215</v>
      </c>
      <c r="AM16" s="19">
        <f t="shared" si="9"/>
        <v>11837</v>
      </c>
      <c r="AN16" s="19">
        <f t="shared" si="10"/>
        <v>0</v>
      </c>
      <c r="AO16" s="19">
        <f t="shared" si="11"/>
        <v>0</v>
      </c>
      <c r="AP16" s="19"/>
      <c r="AQ16" s="19">
        <f t="shared" si="19"/>
        <v>628052</v>
      </c>
      <c r="AR16" s="19">
        <f t="shared" si="20"/>
        <v>164864</v>
      </c>
      <c r="AS16" s="19">
        <f t="shared" si="21"/>
        <v>21504</v>
      </c>
      <c r="AT16" s="19">
        <f t="shared" si="22"/>
        <v>102144</v>
      </c>
      <c r="AU16" s="19">
        <f t="shared" si="12"/>
        <v>313250</v>
      </c>
      <c r="AV16" s="19">
        <f t="shared" si="13"/>
        <v>216691</v>
      </c>
      <c r="AW16" s="19">
        <f t="shared" si="14"/>
        <v>14775</v>
      </c>
      <c r="AX16" s="19">
        <f t="shared" si="15"/>
        <v>5174660</v>
      </c>
      <c r="AY16" s="19">
        <v>4140250</v>
      </c>
      <c r="AZ16" s="19">
        <f t="shared" si="16"/>
        <v>1034410</v>
      </c>
      <c r="BB16" s="19">
        <v>98508</v>
      </c>
      <c r="BC16" s="19">
        <v>13613</v>
      </c>
      <c r="BD16" s="2"/>
      <c r="BE16" s="94">
        <v>55</v>
      </c>
      <c r="BF16" s="94">
        <v>1.0980000000000001</v>
      </c>
    </row>
    <row r="17" spans="1:58" ht="14.4" x14ac:dyDescent="0.25">
      <c r="A17" s="28" t="s">
        <v>69</v>
      </c>
      <c r="B17" s="29" t="s">
        <v>464</v>
      </c>
      <c r="C17" s="66">
        <v>2708</v>
      </c>
      <c r="D17" s="66">
        <v>0</v>
      </c>
      <c r="E17" s="66">
        <v>145</v>
      </c>
      <c r="F17" s="66">
        <v>0</v>
      </c>
      <c r="G17" s="66">
        <v>46</v>
      </c>
      <c r="H17" s="66">
        <v>1</v>
      </c>
      <c r="I17" s="66">
        <v>0</v>
      </c>
      <c r="J17" s="66">
        <v>0</v>
      </c>
      <c r="K17" s="66">
        <v>14</v>
      </c>
      <c r="L17" s="29"/>
      <c r="M17" s="66">
        <v>0</v>
      </c>
      <c r="N17" s="29"/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6">
        <f t="shared" si="17"/>
        <v>2914</v>
      </c>
      <c r="V17" s="66">
        <v>0</v>
      </c>
      <c r="W17" s="66">
        <v>0</v>
      </c>
      <c r="X17" s="66">
        <v>0</v>
      </c>
      <c r="Y17" s="69">
        <f t="shared" si="0"/>
        <v>0</v>
      </c>
      <c r="Z17" s="66">
        <v>2098</v>
      </c>
      <c r="AA17" s="66">
        <f t="shared" si="1"/>
        <v>2624</v>
      </c>
      <c r="AB17" s="69">
        <v>1.109</v>
      </c>
      <c r="AC17" s="66">
        <f t="shared" si="2"/>
        <v>6582953</v>
      </c>
      <c r="AD17" s="92">
        <f t="shared" si="3"/>
        <v>1047776</v>
      </c>
      <c r="AE17" s="66">
        <f t="shared" si="4"/>
        <v>16265</v>
      </c>
      <c r="AF17" s="66">
        <f t="shared" si="5"/>
        <v>0</v>
      </c>
      <c r="AG17" s="66"/>
      <c r="AH17" s="66">
        <f t="shared" si="6"/>
        <v>0</v>
      </c>
      <c r="AI17" s="66"/>
      <c r="AJ17" s="19">
        <f t="shared" si="7"/>
        <v>7646994</v>
      </c>
      <c r="AK17" s="29">
        <f t="shared" si="8"/>
        <v>1.1200000000000001</v>
      </c>
      <c r="AL17" s="66">
        <f t="shared" si="18"/>
        <v>0</v>
      </c>
      <c r="AM17" s="19">
        <f t="shared" si="9"/>
        <v>0</v>
      </c>
      <c r="AN17" s="19">
        <f t="shared" si="10"/>
        <v>0</v>
      </c>
      <c r="AO17" s="19">
        <f t="shared" si="11"/>
        <v>0</v>
      </c>
      <c r="AP17" s="19"/>
      <c r="AQ17" s="19">
        <f t="shared" si="19"/>
        <v>0</v>
      </c>
      <c r="AR17" s="19">
        <f t="shared" si="20"/>
        <v>268088</v>
      </c>
      <c r="AS17" s="19">
        <f t="shared" si="21"/>
        <v>34968</v>
      </c>
      <c r="AT17" s="19">
        <f t="shared" si="22"/>
        <v>166098</v>
      </c>
      <c r="AU17" s="19">
        <f t="shared" si="12"/>
        <v>507325</v>
      </c>
      <c r="AV17" s="19">
        <f t="shared" si="13"/>
        <v>395604</v>
      </c>
      <c r="AW17" s="19">
        <f t="shared" si="14"/>
        <v>31025</v>
      </c>
      <c r="AX17" s="19">
        <f t="shared" si="15"/>
        <v>9050102</v>
      </c>
      <c r="AY17" s="19">
        <v>7670272</v>
      </c>
      <c r="AZ17" s="19">
        <f t="shared" si="16"/>
        <v>1379830</v>
      </c>
      <c r="BB17" s="19">
        <v>216644</v>
      </c>
      <c r="BC17" s="19">
        <v>28352</v>
      </c>
      <c r="BD17" s="2"/>
      <c r="BE17" s="94">
        <v>56</v>
      </c>
      <c r="BF17" s="94">
        <v>1.0980000000000001</v>
      </c>
    </row>
    <row r="18" spans="1:58" ht="14.4" x14ac:dyDescent="0.25">
      <c r="A18" s="28" t="s">
        <v>69</v>
      </c>
      <c r="B18" s="29" t="s">
        <v>587</v>
      </c>
      <c r="C18" s="66">
        <v>35762</v>
      </c>
      <c r="D18" s="66">
        <v>8501</v>
      </c>
      <c r="E18" s="66">
        <v>1350</v>
      </c>
      <c r="F18" s="66">
        <v>32</v>
      </c>
      <c r="G18" s="66">
        <v>1050</v>
      </c>
      <c r="H18" s="66">
        <v>17</v>
      </c>
      <c r="I18" s="66">
        <v>8</v>
      </c>
      <c r="J18" s="66">
        <v>0</v>
      </c>
      <c r="K18" s="66">
        <v>179</v>
      </c>
      <c r="L18" s="29"/>
      <c r="M18" s="66">
        <v>124</v>
      </c>
      <c r="N18" s="29"/>
      <c r="O18" s="66">
        <v>1</v>
      </c>
      <c r="P18" s="66">
        <v>3</v>
      </c>
      <c r="Q18" s="66">
        <v>1469</v>
      </c>
      <c r="R18" s="66">
        <v>106</v>
      </c>
      <c r="S18" s="66">
        <v>153</v>
      </c>
      <c r="T18" s="66">
        <v>1168</v>
      </c>
      <c r="U18" s="66">
        <f t="shared" si="17"/>
        <v>48752</v>
      </c>
      <c r="V18" s="66">
        <v>0</v>
      </c>
      <c r="W18" s="66">
        <v>0</v>
      </c>
      <c r="X18" s="66">
        <v>0</v>
      </c>
      <c r="Y18" s="69">
        <f t="shared" si="0"/>
        <v>0</v>
      </c>
      <c r="Z18" s="66">
        <v>1921</v>
      </c>
      <c r="AA18" s="66">
        <f t="shared" si="1"/>
        <v>2381</v>
      </c>
      <c r="AB18" s="69">
        <v>1</v>
      </c>
      <c r="AC18" s="66">
        <f t="shared" si="2"/>
        <v>78390304</v>
      </c>
      <c r="AD18" s="92">
        <f t="shared" si="3"/>
        <v>15273856</v>
      </c>
      <c r="AE18" s="66">
        <f t="shared" si="4"/>
        <v>207955</v>
      </c>
      <c r="AF18" s="66">
        <f t="shared" si="5"/>
        <v>272203</v>
      </c>
      <c r="AG18" s="66"/>
      <c r="AH18" s="66">
        <f t="shared" si="6"/>
        <v>0</v>
      </c>
      <c r="AI18" s="66"/>
      <c r="AJ18" s="19">
        <f t="shared" si="7"/>
        <v>94144318</v>
      </c>
      <c r="AK18" s="29">
        <f t="shared" si="8"/>
        <v>1</v>
      </c>
      <c r="AL18" s="66">
        <f t="shared" si="18"/>
        <v>18634192</v>
      </c>
      <c r="AM18" s="19">
        <f t="shared" si="9"/>
        <v>259533</v>
      </c>
      <c r="AN18" s="19">
        <f t="shared" si="10"/>
        <v>3025135</v>
      </c>
      <c r="AO18" s="19">
        <f t="shared" si="11"/>
        <v>0</v>
      </c>
      <c r="AP18" s="19"/>
      <c r="AQ18" s="19">
        <f t="shared" si="19"/>
        <v>21918860</v>
      </c>
      <c r="AR18" s="19">
        <f t="shared" si="20"/>
        <v>4485184</v>
      </c>
      <c r="AS18" s="19">
        <f t="shared" si="21"/>
        <v>585024</v>
      </c>
      <c r="AT18" s="19">
        <f t="shared" si="22"/>
        <v>2767008</v>
      </c>
      <c r="AU18" s="19">
        <f t="shared" si="12"/>
        <v>8173025</v>
      </c>
      <c r="AV18" s="19">
        <f t="shared" si="13"/>
        <v>6776827</v>
      </c>
      <c r="AW18" s="19">
        <f t="shared" si="14"/>
        <v>368255</v>
      </c>
      <c r="AX18" s="19">
        <f t="shared" si="15"/>
        <v>139218501</v>
      </c>
      <c r="AY18" s="19">
        <v>112625532</v>
      </c>
      <c r="AZ18" s="19">
        <f t="shared" si="16"/>
        <v>26592969</v>
      </c>
      <c r="BB18" s="19">
        <v>3224948</v>
      </c>
      <c r="BC18" s="19">
        <v>491412</v>
      </c>
      <c r="BD18" s="2"/>
      <c r="BE18" s="94">
        <v>57</v>
      </c>
      <c r="BF18" s="94">
        <v>1.097</v>
      </c>
    </row>
    <row r="19" spans="1:58" ht="14.4" x14ac:dyDescent="0.25">
      <c r="A19" s="28" t="s">
        <v>69</v>
      </c>
      <c r="B19" s="29" t="s">
        <v>460</v>
      </c>
      <c r="C19" s="66">
        <v>2425</v>
      </c>
      <c r="D19" s="66">
        <v>0</v>
      </c>
      <c r="E19" s="66">
        <v>105</v>
      </c>
      <c r="F19" s="66">
        <v>0</v>
      </c>
      <c r="G19" s="66">
        <v>68</v>
      </c>
      <c r="H19" s="66">
        <v>1</v>
      </c>
      <c r="I19" s="66">
        <v>0</v>
      </c>
      <c r="J19" s="66">
        <v>0</v>
      </c>
      <c r="K19" s="66">
        <v>12</v>
      </c>
      <c r="L19" s="29"/>
      <c r="M19" s="66">
        <v>0</v>
      </c>
      <c r="N19" s="29"/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f t="shared" si="17"/>
        <v>2611</v>
      </c>
      <c r="V19" s="66">
        <v>0</v>
      </c>
      <c r="W19" s="66">
        <v>0</v>
      </c>
      <c r="X19" s="66">
        <v>0</v>
      </c>
      <c r="Y19" s="69">
        <f t="shared" si="0"/>
        <v>0</v>
      </c>
      <c r="Z19" s="66">
        <v>1945</v>
      </c>
      <c r="AA19" s="66">
        <f t="shared" si="1"/>
        <v>2449</v>
      </c>
      <c r="AB19" s="69">
        <v>1</v>
      </c>
      <c r="AC19" s="66">
        <f t="shared" si="2"/>
        <v>5315600</v>
      </c>
      <c r="AD19" s="92">
        <f t="shared" si="3"/>
        <v>1065312</v>
      </c>
      <c r="AE19" s="66">
        <f t="shared" si="4"/>
        <v>13941</v>
      </c>
      <c r="AF19" s="66">
        <f t="shared" si="5"/>
        <v>0</v>
      </c>
      <c r="AG19" s="66"/>
      <c r="AH19" s="66">
        <f t="shared" si="6"/>
        <v>0</v>
      </c>
      <c r="AI19" s="66"/>
      <c r="AJ19" s="19">
        <f t="shared" si="7"/>
        <v>6394853</v>
      </c>
      <c r="AK19" s="29">
        <f t="shared" si="8"/>
        <v>1.1200000000000001</v>
      </c>
      <c r="AL19" s="66">
        <f t="shared" si="18"/>
        <v>0</v>
      </c>
      <c r="AM19" s="19">
        <f t="shared" si="9"/>
        <v>0</v>
      </c>
      <c r="AN19" s="19">
        <f t="shared" si="10"/>
        <v>0</v>
      </c>
      <c r="AO19" s="19">
        <f t="shared" si="11"/>
        <v>0</v>
      </c>
      <c r="AP19" s="19"/>
      <c r="AQ19" s="19">
        <f t="shared" si="19"/>
        <v>0</v>
      </c>
      <c r="AR19" s="19">
        <f t="shared" si="20"/>
        <v>240212</v>
      </c>
      <c r="AS19" s="19">
        <f t="shared" si="21"/>
        <v>31332</v>
      </c>
      <c r="AT19" s="19">
        <f t="shared" si="22"/>
        <v>148827</v>
      </c>
      <c r="AU19" s="19">
        <f t="shared" si="12"/>
        <v>454650</v>
      </c>
      <c r="AV19" s="19">
        <f t="shared" si="13"/>
        <v>452628</v>
      </c>
      <c r="AW19" s="19">
        <f t="shared" si="14"/>
        <v>25067</v>
      </c>
      <c r="AX19" s="19">
        <f t="shared" si="15"/>
        <v>7747569</v>
      </c>
      <c r="AY19" s="19">
        <v>6311742</v>
      </c>
      <c r="AZ19" s="19">
        <f t="shared" si="16"/>
        <v>1435827</v>
      </c>
      <c r="BB19" s="19">
        <v>118705</v>
      </c>
      <c r="BC19" s="19">
        <v>23347</v>
      </c>
      <c r="BD19" s="2"/>
      <c r="BE19" s="94">
        <v>58</v>
      </c>
      <c r="BF19" s="94">
        <v>1.097</v>
      </c>
    </row>
    <row r="20" spans="1:58" ht="14.4" x14ac:dyDescent="0.25">
      <c r="A20" s="28" t="s">
        <v>67</v>
      </c>
      <c r="B20" s="29" t="s">
        <v>591</v>
      </c>
      <c r="C20" s="66">
        <v>644</v>
      </c>
      <c r="D20" s="66">
        <v>0</v>
      </c>
      <c r="E20" s="66">
        <v>49</v>
      </c>
      <c r="F20" s="66">
        <v>0</v>
      </c>
      <c r="G20" s="66">
        <v>24</v>
      </c>
      <c r="H20" s="66">
        <v>0</v>
      </c>
      <c r="I20" s="66">
        <v>0</v>
      </c>
      <c r="J20" s="66">
        <v>0</v>
      </c>
      <c r="K20" s="66">
        <v>2</v>
      </c>
      <c r="L20" s="29"/>
      <c r="M20" s="66">
        <v>0</v>
      </c>
      <c r="N20" s="29"/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66">
        <f t="shared" si="17"/>
        <v>719</v>
      </c>
      <c r="V20" s="66">
        <v>0</v>
      </c>
      <c r="W20" s="66">
        <v>0</v>
      </c>
      <c r="X20" s="66">
        <v>0</v>
      </c>
      <c r="Y20" s="69">
        <f t="shared" si="0"/>
        <v>0</v>
      </c>
      <c r="Z20" s="66">
        <v>2867</v>
      </c>
      <c r="AA20" s="66">
        <f t="shared" si="1"/>
        <v>3538</v>
      </c>
      <c r="AB20" s="69">
        <v>1.4990000000000001</v>
      </c>
      <c r="AC20" s="66">
        <f t="shared" si="2"/>
        <v>2116060</v>
      </c>
      <c r="AD20" s="92">
        <f t="shared" si="3"/>
        <v>425248</v>
      </c>
      <c r="AE20" s="66">
        <f t="shared" si="4"/>
        <v>2324</v>
      </c>
      <c r="AF20" s="66">
        <f t="shared" si="5"/>
        <v>0</v>
      </c>
      <c r="AG20" s="66"/>
      <c r="AH20" s="66">
        <f t="shared" si="6"/>
        <v>0</v>
      </c>
      <c r="AI20" s="66"/>
      <c r="AJ20" s="19">
        <f t="shared" si="7"/>
        <v>2543632</v>
      </c>
      <c r="AK20" s="29">
        <f t="shared" si="8"/>
        <v>1.1200000000000001</v>
      </c>
      <c r="AL20" s="66">
        <f t="shared" si="18"/>
        <v>0</v>
      </c>
      <c r="AM20" s="19">
        <f t="shared" si="9"/>
        <v>0</v>
      </c>
      <c r="AN20" s="19">
        <f t="shared" si="10"/>
        <v>0</v>
      </c>
      <c r="AO20" s="19">
        <f t="shared" si="11"/>
        <v>0</v>
      </c>
      <c r="AP20" s="19"/>
      <c r="AQ20" s="19">
        <f t="shared" si="19"/>
        <v>0</v>
      </c>
      <c r="AR20" s="19">
        <f t="shared" si="20"/>
        <v>118281</v>
      </c>
      <c r="AS20" s="19">
        <f t="shared" si="21"/>
        <v>14384</v>
      </c>
      <c r="AT20" s="19">
        <f t="shared" si="22"/>
        <v>40983</v>
      </c>
      <c r="AU20" s="19">
        <f t="shared" si="12"/>
        <v>125475</v>
      </c>
      <c r="AV20" s="19">
        <f t="shared" si="13"/>
        <v>172260</v>
      </c>
      <c r="AW20" s="19">
        <f t="shared" si="14"/>
        <v>10347</v>
      </c>
      <c r="AX20" s="19">
        <f t="shared" si="15"/>
        <v>3025362</v>
      </c>
      <c r="AY20" s="19">
        <v>2501139</v>
      </c>
      <c r="AZ20" s="19">
        <f t="shared" si="16"/>
        <v>524223</v>
      </c>
      <c r="BB20" s="19">
        <v>118281</v>
      </c>
      <c r="BC20" s="19">
        <v>14384</v>
      </c>
      <c r="BD20" s="2"/>
      <c r="BE20" s="94">
        <v>59</v>
      </c>
      <c r="BF20" s="94">
        <v>1.0960000000000001</v>
      </c>
    </row>
    <row r="21" spans="1:58" ht="14.4" x14ac:dyDescent="0.25">
      <c r="A21" s="28" t="s">
        <v>58</v>
      </c>
      <c r="B21" s="29" t="s">
        <v>592</v>
      </c>
      <c r="C21" s="66">
        <v>328</v>
      </c>
      <c r="D21" s="66">
        <v>31</v>
      </c>
      <c r="E21" s="66">
        <v>29</v>
      </c>
      <c r="F21" s="66">
        <v>0</v>
      </c>
      <c r="G21" s="66">
        <v>14</v>
      </c>
      <c r="H21" s="66">
        <v>0</v>
      </c>
      <c r="I21" s="66">
        <v>0</v>
      </c>
      <c r="J21" s="66">
        <v>0</v>
      </c>
      <c r="K21" s="66">
        <v>0</v>
      </c>
      <c r="L21" s="29"/>
      <c r="M21" s="66">
        <v>0</v>
      </c>
      <c r="N21" s="29"/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66">
        <f t="shared" si="17"/>
        <v>402</v>
      </c>
      <c r="V21" s="66">
        <v>0</v>
      </c>
      <c r="W21" s="66">
        <v>0</v>
      </c>
      <c r="X21" s="66">
        <v>0</v>
      </c>
      <c r="Y21" s="69">
        <f t="shared" si="0"/>
        <v>0</v>
      </c>
      <c r="Z21" s="66">
        <v>3175</v>
      </c>
      <c r="AA21" s="66">
        <f t="shared" si="1"/>
        <v>3984</v>
      </c>
      <c r="AB21" s="69">
        <v>1.774</v>
      </c>
      <c r="AC21" s="66">
        <f t="shared" si="2"/>
        <v>1275463</v>
      </c>
      <c r="AD21" s="92">
        <f t="shared" si="3"/>
        <v>249888</v>
      </c>
      <c r="AE21" s="66">
        <f t="shared" si="4"/>
        <v>0</v>
      </c>
      <c r="AF21" s="66">
        <f t="shared" si="5"/>
        <v>0</v>
      </c>
      <c r="AG21" s="66"/>
      <c r="AH21" s="66">
        <f t="shared" si="6"/>
        <v>0</v>
      </c>
      <c r="AI21" s="66"/>
      <c r="AJ21" s="19">
        <f t="shared" si="7"/>
        <v>1525351</v>
      </c>
      <c r="AK21" s="29">
        <f t="shared" si="8"/>
        <v>1.1200000000000001</v>
      </c>
      <c r="AL21" s="66">
        <f t="shared" si="18"/>
        <v>76106</v>
      </c>
      <c r="AM21" s="19">
        <f t="shared" si="9"/>
        <v>0</v>
      </c>
      <c r="AN21" s="19">
        <f t="shared" si="10"/>
        <v>0</v>
      </c>
      <c r="AO21" s="19">
        <f t="shared" si="11"/>
        <v>0</v>
      </c>
      <c r="AP21" s="19"/>
      <c r="AQ21" s="19">
        <f t="shared" si="19"/>
        <v>76106</v>
      </c>
      <c r="AR21" s="19">
        <f t="shared" si="20"/>
        <v>64422</v>
      </c>
      <c r="AS21" s="19">
        <f t="shared" si="21"/>
        <v>7413</v>
      </c>
      <c r="AT21" s="19">
        <f t="shared" si="22"/>
        <v>22914</v>
      </c>
      <c r="AU21" s="19">
        <f t="shared" si="12"/>
        <v>70350</v>
      </c>
      <c r="AV21" s="19">
        <f t="shared" si="13"/>
        <v>100980</v>
      </c>
      <c r="AW21" s="19">
        <f t="shared" si="14"/>
        <v>6319</v>
      </c>
      <c r="AX21" s="19">
        <f t="shared" si="15"/>
        <v>1873855</v>
      </c>
      <c r="AY21" s="19">
        <v>1661934</v>
      </c>
      <c r="AZ21" s="19">
        <f t="shared" si="16"/>
        <v>211921</v>
      </c>
      <c r="BB21" s="19">
        <v>64422</v>
      </c>
      <c r="BC21" s="19">
        <v>7413</v>
      </c>
      <c r="BD21" s="2"/>
      <c r="BE21" s="94">
        <v>60</v>
      </c>
      <c r="BF21" s="94">
        <v>1.0960000000000001</v>
      </c>
    </row>
    <row r="22" spans="1:58" ht="14.4" x14ac:dyDescent="0.25">
      <c r="A22" s="28" t="s">
        <v>58</v>
      </c>
      <c r="B22" s="29" t="s">
        <v>434</v>
      </c>
      <c r="C22" s="66">
        <v>1052</v>
      </c>
      <c r="D22" s="66">
        <v>0</v>
      </c>
      <c r="E22" s="66">
        <v>46</v>
      </c>
      <c r="F22" s="66">
        <v>0</v>
      </c>
      <c r="G22" s="66">
        <v>21</v>
      </c>
      <c r="H22" s="66">
        <v>2</v>
      </c>
      <c r="I22" s="66">
        <v>0</v>
      </c>
      <c r="J22" s="66">
        <v>0</v>
      </c>
      <c r="K22" s="66">
        <v>0</v>
      </c>
      <c r="L22" s="29"/>
      <c r="M22" s="66">
        <v>0</v>
      </c>
      <c r="N22" s="29"/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f t="shared" si="17"/>
        <v>1121</v>
      </c>
      <c r="V22" s="66">
        <v>0</v>
      </c>
      <c r="W22" s="66">
        <v>0</v>
      </c>
      <c r="X22" s="66">
        <v>0</v>
      </c>
      <c r="Y22" s="69">
        <f t="shared" si="0"/>
        <v>0</v>
      </c>
      <c r="Z22" s="66">
        <v>2095</v>
      </c>
      <c r="AA22" s="66">
        <f t="shared" si="1"/>
        <v>2602</v>
      </c>
      <c r="AB22" s="69">
        <v>1.0900000000000001</v>
      </c>
      <c r="AC22" s="66">
        <f t="shared" si="2"/>
        <v>2513523</v>
      </c>
      <c r="AD22" s="92">
        <f t="shared" si="3"/>
        <v>403328</v>
      </c>
      <c r="AE22" s="66">
        <f t="shared" si="4"/>
        <v>0</v>
      </c>
      <c r="AF22" s="66">
        <f t="shared" si="5"/>
        <v>0</v>
      </c>
      <c r="AG22" s="66"/>
      <c r="AH22" s="66">
        <f t="shared" si="6"/>
        <v>0</v>
      </c>
      <c r="AI22" s="66"/>
      <c r="AJ22" s="19">
        <f t="shared" si="7"/>
        <v>2916851</v>
      </c>
      <c r="AK22" s="29">
        <f t="shared" si="8"/>
        <v>1.1200000000000001</v>
      </c>
      <c r="AL22" s="66">
        <f t="shared" si="18"/>
        <v>0</v>
      </c>
      <c r="AM22" s="19">
        <f t="shared" si="9"/>
        <v>0</v>
      </c>
      <c r="AN22" s="19">
        <f t="shared" si="10"/>
        <v>0</v>
      </c>
      <c r="AO22" s="19">
        <f t="shared" si="11"/>
        <v>0</v>
      </c>
      <c r="AP22" s="19"/>
      <c r="AQ22" s="19">
        <f t="shared" si="19"/>
        <v>0</v>
      </c>
      <c r="AR22" s="19">
        <f t="shared" si="20"/>
        <v>111076</v>
      </c>
      <c r="AS22" s="19">
        <f t="shared" si="21"/>
        <v>17529</v>
      </c>
      <c r="AT22" s="19">
        <f t="shared" si="22"/>
        <v>63897</v>
      </c>
      <c r="AU22" s="19">
        <f t="shared" si="12"/>
        <v>195825</v>
      </c>
      <c r="AV22" s="19">
        <f t="shared" si="13"/>
        <v>163944</v>
      </c>
      <c r="AW22" s="19">
        <f t="shared" si="14"/>
        <v>11731</v>
      </c>
      <c r="AX22" s="19">
        <f t="shared" si="15"/>
        <v>3480853</v>
      </c>
      <c r="AY22" s="19">
        <v>2776501</v>
      </c>
      <c r="AZ22" s="19">
        <f t="shared" si="16"/>
        <v>704352</v>
      </c>
      <c r="BB22" s="19">
        <v>111076</v>
      </c>
      <c r="BC22" s="19">
        <v>17529</v>
      </c>
      <c r="BD22" s="2"/>
      <c r="BE22" s="94">
        <v>61</v>
      </c>
      <c r="BF22" s="94">
        <v>1.095</v>
      </c>
    </row>
    <row r="23" spans="1:58" ht="14.4" x14ac:dyDescent="0.25">
      <c r="A23" s="28" t="s">
        <v>58</v>
      </c>
      <c r="B23" s="29" t="s">
        <v>57</v>
      </c>
      <c r="C23" s="66">
        <v>2118</v>
      </c>
      <c r="D23" s="66">
        <v>0</v>
      </c>
      <c r="E23" s="66">
        <v>135</v>
      </c>
      <c r="F23" s="66">
        <v>0</v>
      </c>
      <c r="G23" s="66">
        <v>38</v>
      </c>
      <c r="H23" s="66">
        <v>3</v>
      </c>
      <c r="I23" s="66">
        <v>0</v>
      </c>
      <c r="J23" s="66">
        <v>0</v>
      </c>
      <c r="K23" s="66">
        <v>2</v>
      </c>
      <c r="L23" s="29"/>
      <c r="M23" s="66">
        <v>17</v>
      </c>
      <c r="N23" s="29"/>
      <c r="O23" s="66">
        <v>0</v>
      </c>
      <c r="P23" s="66">
        <v>0</v>
      </c>
      <c r="Q23" s="66">
        <v>78</v>
      </c>
      <c r="R23" s="66">
        <v>0</v>
      </c>
      <c r="S23" s="66">
        <v>0</v>
      </c>
      <c r="T23" s="66">
        <v>0</v>
      </c>
      <c r="U23" s="66">
        <f t="shared" si="17"/>
        <v>2391</v>
      </c>
      <c r="V23" s="66">
        <v>1</v>
      </c>
      <c r="W23" s="66">
        <v>0</v>
      </c>
      <c r="X23" s="66">
        <v>0</v>
      </c>
      <c r="Y23" s="69">
        <f t="shared" si="0"/>
        <v>0</v>
      </c>
      <c r="Z23" s="66">
        <v>1973</v>
      </c>
      <c r="AA23" s="66">
        <f t="shared" si="1"/>
        <v>2476</v>
      </c>
      <c r="AB23" s="69">
        <v>1.03</v>
      </c>
      <c r="AC23" s="66">
        <f t="shared" si="2"/>
        <v>4781936</v>
      </c>
      <c r="AD23" s="92">
        <f t="shared" si="3"/>
        <v>951328</v>
      </c>
      <c r="AE23" s="66">
        <f t="shared" si="4"/>
        <v>2324</v>
      </c>
      <c r="AF23" s="66">
        <f t="shared" si="5"/>
        <v>37264</v>
      </c>
      <c r="AG23" s="66"/>
      <c r="AH23" s="66">
        <f t="shared" si="6"/>
        <v>0</v>
      </c>
      <c r="AI23" s="66"/>
      <c r="AJ23" s="19">
        <f t="shared" si="7"/>
        <v>5772852</v>
      </c>
      <c r="AK23" s="29">
        <f t="shared" si="8"/>
        <v>1.1200000000000001</v>
      </c>
      <c r="AL23" s="66">
        <f t="shared" si="18"/>
        <v>0</v>
      </c>
      <c r="AM23" s="19">
        <f t="shared" si="9"/>
        <v>0</v>
      </c>
      <c r="AN23" s="19">
        <f t="shared" si="10"/>
        <v>147039</v>
      </c>
      <c r="AO23" s="19">
        <f t="shared" si="11"/>
        <v>0</v>
      </c>
      <c r="AP23" s="19"/>
      <c r="AQ23" s="19">
        <f t="shared" si="19"/>
        <v>147039</v>
      </c>
      <c r="AR23" s="19">
        <f t="shared" si="20"/>
        <v>316860</v>
      </c>
      <c r="AS23" s="19">
        <f t="shared" si="21"/>
        <v>43499</v>
      </c>
      <c r="AT23" s="19">
        <f t="shared" si="22"/>
        <v>136287</v>
      </c>
      <c r="AU23" s="19">
        <f t="shared" si="12"/>
        <v>400925</v>
      </c>
      <c r="AV23" s="19">
        <f t="shared" si="13"/>
        <v>356044</v>
      </c>
      <c r="AW23" s="19">
        <f t="shared" si="14"/>
        <v>22704</v>
      </c>
      <c r="AX23" s="19">
        <f t="shared" si="15"/>
        <v>7196210</v>
      </c>
      <c r="AY23" s="19">
        <v>6521567</v>
      </c>
      <c r="AZ23" s="19">
        <f t="shared" si="16"/>
        <v>674643</v>
      </c>
      <c r="BB23" s="19">
        <v>316860</v>
      </c>
      <c r="BC23" s="19">
        <v>43499</v>
      </c>
      <c r="BD23" s="2"/>
      <c r="BE23" s="94">
        <v>62</v>
      </c>
      <c r="BF23" s="94">
        <v>1.095</v>
      </c>
    </row>
    <row r="24" spans="1:58" ht="14.4" x14ac:dyDescent="0.25">
      <c r="A24" s="28" t="s">
        <v>58</v>
      </c>
      <c r="B24" s="29" t="s">
        <v>426</v>
      </c>
      <c r="C24" s="66">
        <v>578</v>
      </c>
      <c r="D24" s="66">
        <v>48</v>
      </c>
      <c r="E24" s="66">
        <v>37</v>
      </c>
      <c r="F24" s="66">
        <v>0</v>
      </c>
      <c r="G24" s="66">
        <v>9</v>
      </c>
      <c r="H24" s="66">
        <v>1</v>
      </c>
      <c r="I24" s="66">
        <v>0</v>
      </c>
      <c r="J24" s="66">
        <v>0</v>
      </c>
      <c r="K24" s="66">
        <v>0</v>
      </c>
      <c r="L24" s="29"/>
      <c r="M24" s="66">
        <v>0</v>
      </c>
      <c r="N24" s="29"/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f t="shared" si="17"/>
        <v>673</v>
      </c>
      <c r="V24" s="66">
        <v>0</v>
      </c>
      <c r="W24" s="66">
        <v>0</v>
      </c>
      <c r="X24" s="66">
        <v>0</v>
      </c>
      <c r="Y24" s="69">
        <f t="shared" si="0"/>
        <v>6.899999999999995E-2</v>
      </c>
      <c r="Z24" s="66">
        <v>2507</v>
      </c>
      <c r="AA24" s="66">
        <f t="shared" si="1"/>
        <v>3178</v>
      </c>
      <c r="AB24" s="69">
        <v>1.3839999999999999</v>
      </c>
      <c r="AC24" s="66">
        <f t="shared" si="2"/>
        <v>1753495</v>
      </c>
      <c r="AD24" s="92">
        <f t="shared" si="3"/>
        <v>249888</v>
      </c>
      <c r="AE24" s="66">
        <f t="shared" si="4"/>
        <v>0</v>
      </c>
      <c r="AF24" s="66">
        <f t="shared" si="5"/>
        <v>0</v>
      </c>
      <c r="AG24" s="66"/>
      <c r="AH24" s="66">
        <f t="shared" si="6"/>
        <v>0</v>
      </c>
      <c r="AI24" s="66"/>
      <c r="AJ24" s="19">
        <f t="shared" si="7"/>
        <v>2003383</v>
      </c>
      <c r="AK24" s="29">
        <f t="shared" si="8"/>
        <v>1.1200000000000001</v>
      </c>
      <c r="AL24" s="66">
        <f t="shared" si="18"/>
        <v>117842</v>
      </c>
      <c r="AM24" s="19">
        <f t="shared" si="9"/>
        <v>0</v>
      </c>
      <c r="AN24" s="19">
        <f t="shared" si="10"/>
        <v>0</v>
      </c>
      <c r="AO24" s="19">
        <f t="shared" si="11"/>
        <v>7260</v>
      </c>
      <c r="AP24" s="19">
        <f>ROUND(D24*C$88*AP$84,0)</f>
        <v>10522</v>
      </c>
      <c r="AQ24" s="19">
        <f t="shared" si="19"/>
        <v>135624</v>
      </c>
      <c r="AR24" s="19">
        <f t="shared" si="20"/>
        <v>108628</v>
      </c>
      <c r="AS24" s="19">
        <f t="shared" si="21"/>
        <v>13834</v>
      </c>
      <c r="AT24" s="19">
        <f t="shared" si="22"/>
        <v>38361</v>
      </c>
      <c r="AU24" s="19">
        <f t="shared" si="12"/>
        <v>117600</v>
      </c>
      <c r="AV24" s="19">
        <f t="shared" si="13"/>
        <v>91476</v>
      </c>
      <c r="AW24" s="19">
        <f t="shared" si="14"/>
        <v>8304</v>
      </c>
      <c r="AX24" s="19">
        <f t="shared" si="15"/>
        <v>2517210</v>
      </c>
      <c r="AY24" s="19">
        <v>1976149</v>
      </c>
      <c r="AZ24" s="19">
        <f t="shared" si="16"/>
        <v>541061</v>
      </c>
      <c r="BB24" s="19">
        <v>108628</v>
      </c>
      <c r="BC24" s="19">
        <v>13834</v>
      </c>
      <c r="BD24" s="2"/>
      <c r="BE24" s="94">
        <v>63</v>
      </c>
      <c r="BF24" s="94">
        <v>1.0940000000000001</v>
      </c>
    </row>
    <row r="25" spans="1:58" ht="14.4" x14ac:dyDescent="0.25">
      <c r="A25" s="28" t="s">
        <v>58</v>
      </c>
      <c r="B25" s="29" t="s">
        <v>59</v>
      </c>
      <c r="C25" s="66">
        <v>3603</v>
      </c>
      <c r="D25" s="66">
        <v>702</v>
      </c>
      <c r="E25" s="66">
        <v>194</v>
      </c>
      <c r="F25" s="66">
        <v>0</v>
      </c>
      <c r="G25" s="66">
        <v>86</v>
      </c>
      <c r="H25" s="66">
        <v>8</v>
      </c>
      <c r="I25" s="66">
        <v>0</v>
      </c>
      <c r="J25" s="66">
        <v>0</v>
      </c>
      <c r="K25" s="66">
        <v>7</v>
      </c>
      <c r="L25" s="29"/>
      <c r="M25" s="66">
        <v>13</v>
      </c>
      <c r="N25" s="29"/>
      <c r="O25" s="66">
        <v>0</v>
      </c>
      <c r="P25" s="66">
        <v>0</v>
      </c>
      <c r="Q25" s="66">
        <v>370</v>
      </c>
      <c r="R25" s="66">
        <v>13</v>
      </c>
      <c r="S25" s="66">
        <v>324</v>
      </c>
      <c r="T25" s="66">
        <v>812</v>
      </c>
      <c r="U25" s="66">
        <f t="shared" si="17"/>
        <v>5320</v>
      </c>
      <c r="V25" s="66">
        <v>0</v>
      </c>
      <c r="W25" s="66">
        <v>0</v>
      </c>
      <c r="X25" s="66">
        <v>0</v>
      </c>
      <c r="Y25" s="69">
        <f t="shared" si="0"/>
        <v>0</v>
      </c>
      <c r="Z25" s="66">
        <v>1859</v>
      </c>
      <c r="AA25" s="66">
        <f t="shared" si="1"/>
        <v>2267</v>
      </c>
      <c r="AB25" s="69">
        <v>1.01</v>
      </c>
      <c r="AC25" s="66">
        <f t="shared" si="2"/>
        <v>7976754</v>
      </c>
      <c r="AD25" s="92">
        <f t="shared" si="3"/>
        <v>1674688</v>
      </c>
      <c r="AE25" s="66">
        <f t="shared" si="4"/>
        <v>8132</v>
      </c>
      <c r="AF25" s="66">
        <f t="shared" si="5"/>
        <v>28496</v>
      </c>
      <c r="AG25" s="66"/>
      <c r="AH25" s="66">
        <f t="shared" si="6"/>
        <v>0</v>
      </c>
      <c r="AI25" s="66"/>
      <c r="AJ25" s="19">
        <f t="shared" si="7"/>
        <v>9688070</v>
      </c>
      <c r="AK25" s="29">
        <f t="shared" si="8"/>
        <v>1</v>
      </c>
      <c r="AL25" s="66">
        <f t="shared" si="18"/>
        <v>1538784</v>
      </c>
      <c r="AM25" s="19">
        <f t="shared" si="9"/>
        <v>0</v>
      </c>
      <c r="AN25" s="19">
        <f t="shared" si="10"/>
        <v>831491</v>
      </c>
      <c r="AO25" s="19">
        <f t="shared" si="11"/>
        <v>0</v>
      </c>
      <c r="AP25" s="19"/>
      <c r="AQ25" s="19">
        <f t="shared" si="19"/>
        <v>2370275</v>
      </c>
      <c r="AR25" s="19">
        <f t="shared" si="20"/>
        <v>489440</v>
      </c>
      <c r="AS25" s="19">
        <f t="shared" si="21"/>
        <v>70301</v>
      </c>
      <c r="AT25" s="19">
        <f t="shared" si="22"/>
        <v>287873</v>
      </c>
      <c r="AU25" s="19">
        <f t="shared" si="12"/>
        <v>802375</v>
      </c>
      <c r="AV25" s="19">
        <f t="shared" si="13"/>
        <v>677160</v>
      </c>
      <c r="AW25" s="19">
        <f t="shared" si="14"/>
        <v>37797</v>
      </c>
      <c r="AX25" s="19">
        <f t="shared" si="15"/>
        <v>14423291</v>
      </c>
      <c r="AY25" s="19">
        <v>12015177</v>
      </c>
      <c r="AZ25" s="19">
        <f t="shared" si="16"/>
        <v>2408114</v>
      </c>
      <c r="BB25" s="19">
        <v>457048</v>
      </c>
      <c r="BC25" s="19">
        <v>70301</v>
      </c>
      <c r="BD25" s="2"/>
      <c r="BE25" s="94">
        <v>64</v>
      </c>
      <c r="BF25" s="94">
        <v>1.0940000000000001</v>
      </c>
    </row>
    <row r="26" spans="1:58" ht="14.4" x14ac:dyDescent="0.25">
      <c r="A26" s="28" t="s">
        <v>58</v>
      </c>
      <c r="B26" s="29" t="s">
        <v>62</v>
      </c>
      <c r="C26" s="66">
        <v>207</v>
      </c>
      <c r="D26" s="66">
        <v>0</v>
      </c>
      <c r="E26" s="66">
        <v>8</v>
      </c>
      <c r="F26" s="66">
        <v>0</v>
      </c>
      <c r="G26" s="66">
        <v>7</v>
      </c>
      <c r="H26" s="66">
        <v>1</v>
      </c>
      <c r="I26" s="66">
        <v>0</v>
      </c>
      <c r="J26" s="66">
        <v>0</v>
      </c>
      <c r="K26" s="66">
        <v>0</v>
      </c>
      <c r="L26" s="29"/>
      <c r="M26" s="66">
        <v>0</v>
      </c>
      <c r="N26" s="29"/>
      <c r="O26" s="66">
        <v>0</v>
      </c>
      <c r="P26" s="66">
        <v>0</v>
      </c>
      <c r="Q26" s="66">
        <v>0</v>
      </c>
      <c r="R26" s="66">
        <v>0</v>
      </c>
      <c r="S26" s="66">
        <v>0</v>
      </c>
      <c r="T26" s="66">
        <v>0</v>
      </c>
      <c r="U26" s="66">
        <f t="shared" si="17"/>
        <v>223</v>
      </c>
      <c r="V26" s="66">
        <v>0</v>
      </c>
      <c r="W26" s="66">
        <v>0</v>
      </c>
      <c r="X26" s="66">
        <v>0</v>
      </c>
      <c r="Y26" s="69">
        <f t="shared" si="0"/>
        <v>0</v>
      </c>
      <c r="Z26" s="66">
        <v>3535</v>
      </c>
      <c r="AA26" s="66">
        <f t="shared" si="1"/>
        <v>4362</v>
      </c>
      <c r="AB26" s="69">
        <v>1.9119999999999999</v>
      </c>
      <c r="AC26" s="66">
        <f t="shared" si="2"/>
        <v>867559</v>
      </c>
      <c r="AD26" s="92">
        <f t="shared" si="3"/>
        <v>105216</v>
      </c>
      <c r="AE26" s="66">
        <f t="shared" si="4"/>
        <v>0</v>
      </c>
      <c r="AF26" s="66">
        <f t="shared" si="5"/>
        <v>0</v>
      </c>
      <c r="AG26" s="66"/>
      <c r="AH26" s="66">
        <f t="shared" si="6"/>
        <v>0</v>
      </c>
      <c r="AI26" s="66"/>
      <c r="AJ26" s="19">
        <f t="shared" si="7"/>
        <v>972775</v>
      </c>
      <c r="AK26" s="29">
        <f t="shared" si="8"/>
        <v>1.1200000000000001</v>
      </c>
      <c r="AL26" s="66">
        <f t="shared" si="18"/>
        <v>0</v>
      </c>
      <c r="AM26" s="19">
        <f t="shared" si="9"/>
        <v>0</v>
      </c>
      <c r="AN26" s="19">
        <f t="shared" si="10"/>
        <v>0</v>
      </c>
      <c r="AO26" s="19">
        <f t="shared" si="11"/>
        <v>0</v>
      </c>
      <c r="AP26" s="19"/>
      <c r="AQ26" s="19">
        <f t="shared" si="19"/>
        <v>0</v>
      </c>
      <c r="AR26" s="19">
        <f t="shared" si="20"/>
        <v>41172</v>
      </c>
      <c r="AS26" s="19">
        <f t="shared" si="21"/>
        <v>3933</v>
      </c>
      <c r="AT26" s="19">
        <f t="shared" si="22"/>
        <v>12711</v>
      </c>
      <c r="AU26" s="19">
        <f t="shared" si="12"/>
        <v>38850</v>
      </c>
      <c r="AV26" s="19">
        <f t="shared" si="13"/>
        <v>47520</v>
      </c>
      <c r="AW26" s="19">
        <f t="shared" si="14"/>
        <v>4093</v>
      </c>
      <c r="AX26" s="19">
        <f t="shared" si="15"/>
        <v>1121054</v>
      </c>
      <c r="AY26" s="19">
        <v>839486</v>
      </c>
      <c r="AZ26" s="19">
        <f t="shared" si="16"/>
        <v>281568</v>
      </c>
      <c r="BB26" s="19">
        <v>41172</v>
      </c>
      <c r="BC26" s="19">
        <v>3933</v>
      </c>
      <c r="BD26" s="2"/>
      <c r="BE26" s="94">
        <v>65</v>
      </c>
      <c r="BF26" s="94">
        <v>1.093</v>
      </c>
    </row>
    <row r="27" spans="1:58" ht="14.4" x14ac:dyDescent="0.25">
      <c r="A27" s="28" t="s">
        <v>58</v>
      </c>
      <c r="B27" s="29" t="s">
        <v>61</v>
      </c>
      <c r="C27" s="66">
        <v>830</v>
      </c>
      <c r="D27" s="66">
        <v>270</v>
      </c>
      <c r="E27" s="66">
        <v>60</v>
      </c>
      <c r="F27" s="66">
        <v>2</v>
      </c>
      <c r="G27" s="66">
        <v>21</v>
      </c>
      <c r="H27" s="66">
        <v>0</v>
      </c>
      <c r="I27" s="66">
        <v>0</v>
      </c>
      <c r="J27" s="66">
        <v>0</v>
      </c>
      <c r="K27" s="66">
        <v>1</v>
      </c>
      <c r="L27" s="29"/>
      <c r="M27" s="66">
        <v>0</v>
      </c>
      <c r="N27" s="29"/>
      <c r="O27" s="66">
        <v>0</v>
      </c>
      <c r="P27" s="66">
        <v>0</v>
      </c>
      <c r="Q27" s="66">
        <v>15</v>
      </c>
      <c r="R27" s="66">
        <v>2</v>
      </c>
      <c r="S27" s="66">
        <v>3</v>
      </c>
      <c r="T27" s="66">
        <v>8</v>
      </c>
      <c r="U27" s="66">
        <f t="shared" si="17"/>
        <v>1204</v>
      </c>
      <c r="V27" s="66">
        <v>0</v>
      </c>
      <c r="W27" s="66">
        <v>0</v>
      </c>
      <c r="X27" s="66">
        <v>0</v>
      </c>
      <c r="Y27" s="69">
        <f t="shared" si="0"/>
        <v>0</v>
      </c>
      <c r="Z27" s="66">
        <v>2124</v>
      </c>
      <c r="AA27" s="66">
        <f t="shared" si="1"/>
        <v>2655</v>
      </c>
      <c r="AB27" s="69">
        <v>1.0900000000000001</v>
      </c>
      <c r="AC27" s="66">
        <f t="shared" si="2"/>
        <v>1983102</v>
      </c>
      <c r="AD27" s="92">
        <f t="shared" si="3"/>
        <v>447168</v>
      </c>
      <c r="AE27" s="66">
        <f t="shared" si="4"/>
        <v>1162</v>
      </c>
      <c r="AF27" s="66">
        <f t="shared" si="5"/>
        <v>0</v>
      </c>
      <c r="AG27" s="66"/>
      <c r="AH27" s="66">
        <f t="shared" si="6"/>
        <v>0</v>
      </c>
      <c r="AI27" s="66"/>
      <c r="AJ27" s="19">
        <f t="shared" si="7"/>
        <v>2431432</v>
      </c>
      <c r="AK27" s="29">
        <f t="shared" si="8"/>
        <v>1.1200000000000001</v>
      </c>
      <c r="AL27" s="66">
        <f t="shared" si="18"/>
        <v>662861</v>
      </c>
      <c r="AM27" s="19">
        <f t="shared" si="9"/>
        <v>11837</v>
      </c>
      <c r="AN27" s="19">
        <f t="shared" si="10"/>
        <v>30952</v>
      </c>
      <c r="AO27" s="19">
        <f t="shared" si="11"/>
        <v>0</v>
      </c>
      <c r="AP27" s="19">
        <f>ROUND(D27*C$88*AP$84,0)</f>
        <v>59184</v>
      </c>
      <c r="AQ27" s="19">
        <f t="shared" si="19"/>
        <v>764834</v>
      </c>
      <c r="AR27" s="19">
        <f t="shared" si="20"/>
        <v>120227</v>
      </c>
      <c r="AS27" s="19">
        <f t="shared" si="21"/>
        <v>17342</v>
      </c>
      <c r="AT27" s="19">
        <f t="shared" si="22"/>
        <v>68400</v>
      </c>
      <c r="AU27" s="19">
        <f t="shared" si="12"/>
        <v>207025</v>
      </c>
      <c r="AV27" s="19">
        <f t="shared" si="13"/>
        <v>175111</v>
      </c>
      <c r="AW27" s="19">
        <f t="shared" si="14"/>
        <v>9544</v>
      </c>
      <c r="AX27" s="19">
        <f t="shared" si="15"/>
        <v>3793915</v>
      </c>
      <c r="AY27" s="19">
        <v>3079631</v>
      </c>
      <c r="AZ27" s="19">
        <f t="shared" si="16"/>
        <v>714284</v>
      </c>
      <c r="BB27" s="19">
        <v>120227</v>
      </c>
      <c r="BC27" s="19">
        <v>17342</v>
      </c>
      <c r="BD27" s="2"/>
      <c r="BE27" s="94">
        <v>66</v>
      </c>
      <c r="BF27" s="94">
        <v>1.093</v>
      </c>
    </row>
    <row r="28" spans="1:58" ht="14.4" x14ac:dyDescent="0.25">
      <c r="A28" s="28" t="s">
        <v>58</v>
      </c>
      <c r="B28" s="29" t="s">
        <v>64</v>
      </c>
      <c r="C28" s="66">
        <v>316</v>
      </c>
      <c r="D28" s="66">
        <v>54</v>
      </c>
      <c r="E28" s="66">
        <v>17</v>
      </c>
      <c r="F28" s="66">
        <v>0</v>
      </c>
      <c r="G28" s="66">
        <v>0</v>
      </c>
      <c r="H28" s="66">
        <v>1</v>
      </c>
      <c r="I28" s="66">
        <v>0</v>
      </c>
      <c r="J28" s="66">
        <v>0</v>
      </c>
      <c r="K28" s="66">
        <v>0</v>
      </c>
      <c r="L28" s="29"/>
      <c r="M28" s="66">
        <v>0</v>
      </c>
      <c r="N28" s="29"/>
      <c r="O28" s="66">
        <v>0</v>
      </c>
      <c r="P28" s="66">
        <v>0</v>
      </c>
      <c r="Q28" s="66">
        <v>0</v>
      </c>
      <c r="R28" s="66">
        <v>0</v>
      </c>
      <c r="S28" s="66">
        <v>0</v>
      </c>
      <c r="T28" s="66">
        <v>0</v>
      </c>
      <c r="U28" s="66">
        <f t="shared" si="17"/>
        <v>388</v>
      </c>
      <c r="V28" s="66">
        <v>0</v>
      </c>
      <c r="W28" s="66">
        <v>0</v>
      </c>
      <c r="X28" s="66">
        <v>0</v>
      </c>
      <c r="Y28" s="69">
        <f t="shared" si="0"/>
        <v>9.8999999999999977E-2</v>
      </c>
      <c r="Z28" s="66">
        <v>2546</v>
      </c>
      <c r="AA28" s="66">
        <f t="shared" si="1"/>
        <v>3166</v>
      </c>
      <c r="AB28" s="69">
        <v>1.4450000000000001</v>
      </c>
      <c r="AC28" s="66">
        <f t="shared" si="2"/>
        <v>1000911</v>
      </c>
      <c r="AD28" s="92">
        <f t="shared" si="3"/>
        <v>83296</v>
      </c>
      <c r="AE28" s="66">
        <f t="shared" si="4"/>
        <v>0</v>
      </c>
      <c r="AF28" s="66">
        <f t="shared" si="5"/>
        <v>0</v>
      </c>
      <c r="AG28" s="66"/>
      <c r="AH28" s="66">
        <f t="shared" si="6"/>
        <v>0</v>
      </c>
      <c r="AI28" s="66"/>
      <c r="AJ28" s="19">
        <f t="shared" si="7"/>
        <v>1084207</v>
      </c>
      <c r="AK28" s="29">
        <f t="shared" si="8"/>
        <v>1.1200000000000001</v>
      </c>
      <c r="AL28" s="66">
        <f t="shared" si="18"/>
        <v>132572</v>
      </c>
      <c r="AM28" s="19">
        <f t="shared" si="9"/>
        <v>0</v>
      </c>
      <c r="AN28" s="19">
        <f t="shared" si="10"/>
        <v>0</v>
      </c>
      <c r="AO28" s="19">
        <f t="shared" si="11"/>
        <v>11718</v>
      </c>
      <c r="AP28" s="19"/>
      <c r="AQ28" s="19">
        <f t="shared" si="19"/>
        <v>144290</v>
      </c>
      <c r="AR28" s="19">
        <f t="shared" si="20"/>
        <v>51267</v>
      </c>
      <c r="AS28" s="19">
        <f t="shared" si="21"/>
        <v>4995</v>
      </c>
      <c r="AT28" s="19">
        <f t="shared" si="22"/>
        <v>22116</v>
      </c>
      <c r="AU28" s="19">
        <f t="shared" si="12"/>
        <v>67725</v>
      </c>
      <c r="AV28" s="19">
        <f t="shared" si="13"/>
        <v>24948</v>
      </c>
      <c r="AW28" s="19">
        <f t="shared" si="14"/>
        <v>4633</v>
      </c>
      <c r="AX28" s="19">
        <f t="shared" si="15"/>
        <v>1404181</v>
      </c>
      <c r="AY28" s="19">
        <v>1071260</v>
      </c>
      <c r="AZ28" s="19">
        <f t="shared" si="16"/>
        <v>332921</v>
      </c>
      <c r="BB28" s="19">
        <v>51267</v>
      </c>
      <c r="BC28" s="19">
        <v>4995</v>
      </c>
      <c r="BD28" s="2"/>
      <c r="BE28" s="94">
        <v>67</v>
      </c>
      <c r="BF28" s="94">
        <v>1.0920000000000001</v>
      </c>
    </row>
    <row r="29" spans="1:58" ht="14.4" x14ac:dyDescent="0.25">
      <c r="A29" s="28" t="s">
        <v>55</v>
      </c>
      <c r="B29" s="29" t="s">
        <v>409</v>
      </c>
      <c r="C29" s="66">
        <v>1169</v>
      </c>
      <c r="D29" s="66">
        <v>4</v>
      </c>
      <c r="E29" s="66">
        <v>56</v>
      </c>
      <c r="F29" s="66">
        <v>0</v>
      </c>
      <c r="G29" s="66">
        <v>11</v>
      </c>
      <c r="H29" s="66">
        <v>2</v>
      </c>
      <c r="I29" s="66">
        <v>0</v>
      </c>
      <c r="J29" s="66">
        <v>0</v>
      </c>
      <c r="K29" s="66">
        <v>2</v>
      </c>
      <c r="L29" s="29"/>
      <c r="M29" s="66">
        <v>0</v>
      </c>
      <c r="N29" s="29"/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f t="shared" si="17"/>
        <v>1244</v>
      </c>
      <c r="V29" s="66">
        <v>0</v>
      </c>
      <c r="W29" s="66">
        <v>0</v>
      </c>
      <c r="X29" s="66">
        <v>0</v>
      </c>
      <c r="Y29" s="69">
        <f t="shared" si="0"/>
        <v>0</v>
      </c>
      <c r="Z29" s="66">
        <v>2282</v>
      </c>
      <c r="AA29" s="66">
        <f t="shared" si="1"/>
        <v>2886</v>
      </c>
      <c r="AB29" s="69">
        <v>1.256</v>
      </c>
      <c r="AC29" s="66">
        <f t="shared" si="2"/>
        <v>3218435</v>
      </c>
      <c r="AD29" s="92">
        <f t="shared" si="3"/>
        <v>359488</v>
      </c>
      <c r="AE29" s="66">
        <f t="shared" si="4"/>
        <v>2324</v>
      </c>
      <c r="AF29" s="66">
        <f t="shared" si="5"/>
        <v>0</v>
      </c>
      <c r="AG29" s="66"/>
      <c r="AH29" s="66">
        <f t="shared" si="6"/>
        <v>0</v>
      </c>
      <c r="AI29" s="66"/>
      <c r="AJ29" s="19">
        <f t="shared" si="7"/>
        <v>3580247</v>
      </c>
      <c r="AK29" s="29">
        <f t="shared" si="8"/>
        <v>1.1200000000000001</v>
      </c>
      <c r="AL29" s="66">
        <f t="shared" si="18"/>
        <v>9820</v>
      </c>
      <c r="AM29" s="19">
        <f t="shared" si="9"/>
        <v>0</v>
      </c>
      <c r="AN29" s="19">
        <f t="shared" si="10"/>
        <v>0</v>
      </c>
      <c r="AO29" s="19">
        <f t="shared" si="11"/>
        <v>0</v>
      </c>
      <c r="AP29" s="19"/>
      <c r="AQ29" s="19">
        <f t="shared" si="19"/>
        <v>9820</v>
      </c>
      <c r="AR29" s="19">
        <f t="shared" si="20"/>
        <v>160045</v>
      </c>
      <c r="AS29" s="19">
        <f t="shared" si="21"/>
        <v>21885</v>
      </c>
      <c r="AT29" s="19">
        <f t="shared" si="22"/>
        <v>70908</v>
      </c>
      <c r="AU29" s="19">
        <f t="shared" si="12"/>
        <v>217000</v>
      </c>
      <c r="AV29" s="19">
        <f t="shared" si="13"/>
        <v>128304</v>
      </c>
      <c r="AW29" s="19">
        <f t="shared" si="14"/>
        <v>14952</v>
      </c>
      <c r="AX29" s="19">
        <f t="shared" si="15"/>
        <v>4203161</v>
      </c>
      <c r="AY29" s="19">
        <v>3632458</v>
      </c>
      <c r="AZ29" s="19">
        <f t="shared" si="16"/>
        <v>570703</v>
      </c>
      <c r="BB29" s="19">
        <v>160045</v>
      </c>
      <c r="BC29" s="19">
        <v>21885</v>
      </c>
      <c r="BD29" s="2"/>
      <c r="BE29" s="94">
        <v>68</v>
      </c>
      <c r="BF29" s="94">
        <v>1.0920000000000001</v>
      </c>
    </row>
    <row r="30" spans="1:58" ht="14.4" x14ac:dyDescent="0.25">
      <c r="A30" s="28" t="s">
        <v>55</v>
      </c>
      <c r="B30" s="29" t="s">
        <v>593</v>
      </c>
      <c r="C30" s="66">
        <v>368</v>
      </c>
      <c r="D30" s="66">
        <v>60</v>
      </c>
      <c r="E30" s="66">
        <v>19</v>
      </c>
      <c r="F30" s="66">
        <v>1</v>
      </c>
      <c r="G30" s="66">
        <v>6</v>
      </c>
      <c r="H30" s="66">
        <v>0</v>
      </c>
      <c r="I30" s="66">
        <v>0</v>
      </c>
      <c r="J30" s="66">
        <v>0</v>
      </c>
      <c r="K30" s="66">
        <v>0</v>
      </c>
      <c r="L30" s="29"/>
      <c r="M30" s="66">
        <v>0</v>
      </c>
      <c r="N30" s="29"/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f t="shared" si="17"/>
        <v>454</v>
      </c>
      <c r="V30" s="66">
        <v>0</v>
      </c>
      <c r="W30" s="66">
        <v>0</v>
      </c>
      <c r="X30" s="66">
        <v>0</v>
      </c>
      <c r="Y30" s="69">
        <f t="shared" si="0"/>
        <v>9.6000000000000085E-2</v>
      </c>
      <c r="Z30" s="66">
        <v>3110</v>
      </c>
      <c r="AA30" s="66">
        <f t="shared" si="1"/>
        <v>3867</v>
      </c>
      <c r="AB30" s="69">
        <v>1.786</v>
      </c>
      <c r="AC30" s="66">
        <f t="shared" si="2"/>
        <v>1440688</v>
      </c>
      <c r="AD30" s="92">
        <f t="shared" si="3"/>
        <v>135904</v>
      </c>
      <c r="AE30" s="66">
        <f t="shared" si="4"/>
        <v>0</v>
      </c>
      <c r="AF30" s="66">
        <f t="shared" si="5"/>
        <v>0</v>
      </c>
      <c r="AG30" s="66"/>
      <c r="AH30" s="66">
        <f t="shared" si="6"/>
        <v>0</v>
      </c>
      <c r="AI30" s="66"/>
      <c r="AJ30" s="19">
        <f t="shared" si="7"/>
        <v>1576592</v>
      </c>
      <c r="AK30" s="29">
        <f t="shared" si="8"/>
        <v>1.1200000000000001</v>
      </c>
      <c r="AL30" s="66">
        <f t="shared" si="18"/>
        <v>147302</v>
      </c>
      <c r="AM30" s="19">
        <f t="shared" si="9"/>
        <v>5918</v>
      </c>
      <c r="AN30" s="19">
        <f t="shared" si="10"/>
        <v>0</v>
      </c>
      <c r="AO30" s="19">
        <f t="shared" si="11"/>
        <v>12626</v>
      </c>
      <c r="AP30" s="19">
        <f>ROUND(D30*C$88*AP$84,0)</f>
        <v>13152</v>
      </c>
      <c r="AQ30" s="19">
        <f t="shared" si="19"/>
        <v>178998</v>
      </c>
      <c r="AR30" s="19">
        <f t="shared" si="20"/>
        <v>106506</v>
      </c>
      <c r="AS30" s="19">
        <f t="shared" si="21"/>
        <v>11468</v>
      </c>
      <c r="AT30" s="19">
        <f t="shared" si="22"/>
        <v>25878</v>
      </c>
      <c r="AU30" s="19">
        <f t="shared" si="12"/>
        <v>79450</v>
      </c>
      <c r="AV30" s="19">
        <f t="shared" si="13"/>
        <v>53104</v>
      </c>
      <c r="AW30" s="19">
        <f t="shared" si="14"/>
        <v>6739</v>
      </c>
      <c r="AX30" s="19">
        <f t="shared" si="15"/>
        <v>2038735</v>
      </c>
      <c r="AY30" s="19">
        <v>1641166</v>
      </c>
      <c r="AZ30" s="19">
        <f t="shared" si="16"/>
        <v>397569</v>
      </c>
      <c r="BB30" s="19">
        <v>106506</v>
      </c>
      <c r="BC30" s="19">
        <v>11468</v>
      </c>
      <c r="BD30" s="2"/>
      <c r="BE30" s="94">
        <v>69</v>
      </c>
      <c r="BF30" s="94">
        <v>1.091</v>
      </c>
    </row>
    <row r="31" spans="1:58" ht="14.4" x14ac:dyDescent="0.25">
      <c r="A31" s="28" t="s">
        <v>55</v>
      </c>
      <c r="B31" s="29" t="s">
        <v>397</v>
      </c>
      <c r="C31" s="66">
        <v>737</v>
      </c>
      <c r="D31" s="66">
        <v>129</v>
      </c>
      <c r="E31" s="66">
        <v>74</v>
      </c>
      <c r="F31" s="66">
        <v>0</v>
      </c>
      <c r="G31" s="66">
        <v>20</v>
      </c>
      <c r="H31" s="66">
        <v>1</v>
      </c>
      <c r="I31" s="66">
        <v>0</v>
      </c>
      <c r="J31" s="66">
        <v>0</v>
      </c>
      <c r="K31" s="66">
        <v>0</v>
      </c>
      <c r="L31" s="29"/>
      <c r="M31" s="66">
        <v>0</v>
      </c>
      <c r="N31" s="29"/>
      <c r="O31" s="66">
        <v>0</v>
      </c>
      <c r="P31" s="66">
        <v>0</v>
      </c>
      <c r="Q31" s="66">
        <v>0</v>
      </c>
      <c r="R31" s="66">
        <v>0</v>
      </c>
      <c r="S31" s="66">
        <v>0</v>
      </c>
      <c r="T31" s="66">
        <v>0</v>
      </c>
      <c r="U31" s="66">
        <f t="shared" si="17"/>
        <v>961</v>
      </c>
      <c r="V31" s="66">
        <v>0</v>
      </c>
      <c r="W31" s="66">
        <v>0</v>
      </c>
      <c r="X31" s="66">
        <v>0</v>
      </c>
      <c r="Y31" s="69">
        <f t="shared" si="0"/>
        <v>6.2999999999999945E-2</v>
      </c>
      <c r="Z31" s="66">
        <v>2599</v>
      </c>
      <c r="AA31" s="66">
        <f t="shared" si="1"/>
        <v>3243</v>
      </c>
      <c r="AB31" s="69">
        <v>1.407</v>
      </c>
      <c r="AC31" s="66">
        <f t="shared" si="2"/>
        <v>2273014</v>
      </c>
      <c r="AD31" s="92">
        <f t="shared" si="3"/>
        <v>508544</v>
      </c>
      <c r="AE31" s="66">
        <f t="shared" si="4"/>
        <v>0</v>
      </c>
      <c r="AF31" s="66">
        <f t="shared" si="5"/>
        <v>0</v>
      </c>
      <c r="AG31" s="66"/>
      <c r="AH31" s="66">
        <f t="shared" si="6"/>
        <v>0</v>
      </c>
      <c r="AI31" s="66"/>
      <c r="AJ31" s="19">
        <f t="shared" si="7"/>
        <v>2781558</v>
      </c>
      <c r="AK31" s="29">
        <f t="shared" si="8"/>
        <v>1.1200000000000001</v>
      </c>
      <c r="AL31" s="66">
        <f t="shared" si="18"/>
        <v>316700</v>
      </c>
      <c r="AM31" s="19">
        <f t="shared" si="9"/>
        <v>0</v>
      </c>
      <c r="AN31" s="19">
        <f t="shared" si="10"/>
        <v>0</v>
      </c>
      <c r="AO31" s="19">
        <f t="shared" si="11"/>
        <v>17814</v>
      </c>
      <c r="AP31" s="19"/>
      <c r="AQ31" s="19">
        <f t="shared" si="19"/>
        <v>334514</v>
      </c>
      <c r="AR31" s="19">
        <f t="shared" si="20"/>
        <v>132555</v>
      </c>
      <c r="AS31" s="19">
        <f t="shared" si="21"/>
        <v>17988</v>
      </c>
      <c r="AT31" s="19">
        <f t="shared" si="22"/>
        <v>54777</v>
      </c>
      <c r="AU31" s="19">
        <f t="shared" si="12"/>
        <v>168000</v>
      </c>
      <c r="AV31" s="19">
        <f t="shared" si="13"/>
        <v>187704</v>
      </c>
      <c r="AW31" s="19">
        <f t="shared" si="14"/>
        <v>11239</v>
      </c>
      <c r="AX31" s="19">
        <f t="shared" si="15"/>
        <v>3688335</v>
      </c>
      <c r="AY31" s="19">
        <v>2889656</v>
      </c>
      <c r="AZ31" s="19">
        <f t="shared" si="16"/>
        <v>798679</v>
      </c>
      <c r="BB31" s="19">
        <v>132555</v>
      </c>
      <c r="BC31" s="19">
        <v>17988</v>
      </c>
      <c r="BD31" s="2"/>
      <c r="BE31" s="94">
        <v>70</v>
      </c>
      <c r="BF31" s="94">
        <v>1.091</v>
      </c>
    </row>
    <row r="32" spans="1:58" ht="14.4" x14ac:dyDescent="0.25">
      <c r="A32" s="28" t="s">
        <v>52</v>
      </c>
      <c r="B32" s="29" t="s">
        <v>594</v>
      </c>
      <c r="C32" s="66">
        <v>824</v>
      </c>
      <c r="D32" s="66">
        <v>94</v>
      </c>
      <c r="E32" s="66">
        <v>67</v>
      </c>
      <c r="F32" s="66">
        <v>0</v>
      </c>
      <c r="G32" s="66">
        <v>23</v>
      </c>
      <c r="H32" s="66">
        <v>2</v>
      </c>
      <c r="I32" s="66">
        <v>0</v>
      </c>
      <c r="J32" s="66">
        <v>0</v>
      </c>
      <c r="K32" s="66">
        <v>0</v>
      </c>
      <c r="L32" s="29"/>
      <c r="M32" s="66">
        <v>5</v>
      </c>
      <c r="N32" s="29"/>
      <c r="O32" s="66">
        <v>0</v>
      </c>
      <c r="P32" s="66">
        <v>0</v>
      </c>
      <c r="Q32" s="66">
        <v>20</v>
      </c>
      <c r="R32" s="66">
        <v>0</v>
      </c>
      <c r="S32" s="66">
        <v>0</v>
      </c>
      <c r="T32" s="66">
        <v>0</v>
      </c>
      <c r="U32" s="66">
        <f t="shared" si="17"/>
        <v>1035</v>
      </c>
      <c r="V32" s="66">
        <v>0</v>
      </c>
      <c r="W32" s="66">
        <v>0</v>
      </c>
      <c r="X32" s="66">
        <v>0</v>
      </c>
      <c r="Y32" s="69">
        <f t="shared" si="0"/>
        <v>7.8999999999999959E-2</v>
      </c>
      <c r="Z32" s="66">
        <v>2803</v>
      </c>
      <c r="AA32" s="66">
        <f t="shared" si="1"/>
        <v>3490</v>
      </c>
      <c r="AB32" s="69">
        <v>1.552</v>
      </c>
      <c r="AC32" s="66">
        <f t="shared" si="2"/>
        <v>2803235</v>
      </c>
      <c r="AD32" s="92">
        <f t="shared" si="3"/>
        <v>512928</v>
      </c>
      <c r="AE32" s="66">
        <f t="shared" si="4"/>
        <v>0</v>
      </c>
      <c r="AF32" s="66">
        <f t="shared" si="5"/>
        <v>10960</v>
      </c>
      <c r="AG32" s="66"/>
      <c r="AH32" s="66">
        <f t="shared" si="6"/>
        <v>0</v>
      </c>
      <c r="AI32" s="66"/>
      <c r="AJ32" s="19">
        <f t="shared" si="7"/>
        <v>3327123</v>
      </c>
      <c r="AK32" s="29">
        <f t="shared" si="8"/>
        <v>1.1200000000000001</v>
      </c>
      <c r="AL32" s="66">
        <f t="shared" si="18"/>
        <v>230774</v>
      </c>
      <c r="AM32" s="19">
        <f t="shared" si="9"/>
        <v>0</v>
      </c>
      <c r="AN32" s="19">
        <f t="shared" si="10"/>
        <v>37702</v>
      </c>
      <c r="AO32" s="19">
        <f t="shared" si="11"/>
        <v>16278</v>
      </c>
      <c r="AP32" s="19"/>
      <c r="AQ32" s="19">
        <f t="shared" si="19"/>
        <v>284754</v>
      </c>
      <c r="AR32" s="19">
        <f t="shared" si="20"/>
        <v>157539</v>
      </c>
      <c r="AS32" s="19">
        <f t="shared" si="21"/>
        <v>17655</v>
      </c>
      <c r="AT32" s="19">
        <f t="shared" si="22"/>
        <v>58995</v>
      </c>
      <c r="AU32" s="19">
        <f t="shared" si="12"/>
        <v>176400</v>
      </c>
      <c r="AV32" s="19">
        <f t="shared" si="13"/>
        <v>198396</v>
      </c>
      <c r="AW32" s="19">
        <f t="shared" si="14"/>
        <v>13648</v>
      </c>
      <c r="AX32" s="19">
        <f t="shared" si="15"/>
        <v>4234510</v>
      </c>
      <c r="AY32" s="19">
        <v>3347628</v>
      </c>
      <c r="AZ32" s="19">
        <f t="shared" si="16"/>
        <v>886882</v>
      </c>
      <c r="BB32" s="19">
        <v>157539</v>
      </c>
      <c r="BC32" s="19">
        <v>17655</v>
      </c>
      <c r="BD32" s="2"/>
      <c r="BE32" s="94">
        <v>71</v>
      </c>
      <c r="BF32" s="94">
        <v>1.0900000000000001</v>
      </c>
    </row>
    <row r="33" spans="1:58" ht="14.4" x14ac:dyDescent="0.25">
      <c r="A33" s="28" t="s">
        <v>52</v>
      </c>
      <c r="B33" s="29" t="s">
        <v>51</v>
      </c>
      <c r="C33" s="66">
        <v>886</v>
      </c>
      <c r="D33" s="66">
        <v>0</v>
      </c>
      <c r="E33" s="66">
        <v>72</v>
      </c>
      <c r="F33" s="66">
        <v>0</v>
      </c>
      <c r="G33" s="66">
        <v>25</v>
      </c>
      <c r="H33" s="66">
        <v>1</v>
      </c>
      <c r="I33" s="66">
        <v>0</v>
      </c>
      <c r="J33" s="66">
        <v>0</v>
      </c>
      <c r="K33" s="66">
        <v>1</v>
      </c>
      <c r="L33" s="29"/>
      <c r="M33" s="66">
        <v>0</v>
      </c>
      <c r="N33" s="29"/>
      <c r="O33" s="66">
        <v>0</v>
      </c>
      <c r="P33" s="66">
        <v>0</v>
      </c>
      <c r="Q33" s="66">
        <v>0</v>
      </c>
      <c r="R33" s="66">
        <v>0</v>
      </c>
      <c r="S33" s="66">
        <v>0</v>
      </c>
      <c r="T33" s="66">
        <v>0</v>
      </c>
      <c r="U33" s="66">
        <f t="shared" si="17"/>
        <v>985</v>
      </c>
      <c r="V33" s="66">
        <v>0</v>
      </c>
      <c r="W33" s="66">
        <v>0</v>
      </c>
      <c r="X33" s="66">
        <v>0</v>
      </c>
      <c r="Y33" s="69">
        <f t="shared" si="0"/>
        <v>0</v>
      </c>
      <c r="Z33" s="66">
        <v>2246</v>
      </c>
      <c r="AA33" s="66">
        <f t="shared" si="1"/>
        <v>2744</v>
      </c>
      <c r="AB33" s="69">
        <v>1.111</v>
      </c>
      <c r="AC33" s="66">
        <f t="shared" si="2"/>
        <v>2157686</v>
      </c>
      <c r="AD33" s="92">
        <f t="shared" si="3"/>
        <v>543616</v>
      </c>
      <c r="AE33" s="66">
        <f t="shared" si="4"/>
        <v>1162</v>
      </c>
      <c r="AF33" s="66">
        <f t="shared" si="5"/>
        <v>0</v>
      </c>
      <c r="AG33" s="66"/>
      <c r="AH33" s="66">
        <f t="shared" si="6"/>
        <v>0</v>
      </c>
      <c r="AI33" s="66"/>
      <c r="AJ33" s="19">
        <f t="shared" si="7"/>
        <v>2702464</v>
      </c>
      <c r="AK33" s="29">
        <f t="shared" si="8"/>
        <v>1.1200000000000001</v>
      </c>
      <c r="AL33" s="66">
        <f t="shared" si="18"/>
        <v>0</v>
      </c>
      <c r="AM33" s="19">
        <f t="shared" si="9"/>
        <v>0</v>
      </c>
      <c r="AN33" s="19">
        <f t="shared" si="10"/>
        <v>0</v>
      </c>
      <c r="AO33" s="19">
        <f t="shared" si="11"/>
        <v>0</v>
      </c>
      <c r="AP33" s="19"/>
      <c r="AQ33" s="19">
        <f t="shared" si="19"/>
        <v>0</v>
      </c>
      <c r="AR33" s="19">
        <f t="shared" si="20"/>
        <v>126262</v>
      </c>
      <c r="AS33" s="19">
        <f t="shared" si="21"/>
        <v>17136</v>
      </c>
      <c r="AT33" s="19">
        <f t="shared" si="22"/>
        <v>56145</v>
      </c>
      <c r="AU33" s="19">
        <f t="shared" si="12"/>
        <v>172025</v>
      </c>
      <c r="AV33" s="19">
        <f t="shared" si="13"/>
        <v>209088</v>
      </c>
      <c r="AW33" s="19">
        <f t="shared" si="14"/>
        <v>10506</v>
      </c>
      <c r="AX33" s="19">
        <f t="shared" si="15"/>
        <v>3293626</v>
      </c>
      <c r="AY33" s="19">
        <v>2710892</v>
      </c>
      <c r="AZ33" s="19">
        <f t="shared" si="16"/>
        <v>582734</v>
      </c>
      <c r="BB33" s="19">
        <v>126262</v>
      </c>
      <c r="BC33" s="19">
        <v>17136</v>
      </c>
      <c r="BD33" s="2"/>
      <c r="BE33" s="94">
        <v>72</v>
      </c>
      <c r="BF33" s="94">
        <v>1.0900000000000001</v>
      </c>
    </row>
    <row r="34" spans="1:58" ht="14.4" x14ac:dyDescent="0.25">
      <c r="A34" s="28" t="s">
        <v>52</v>
      </c>
      <c r="B34" s="29" t="s">
        <v>370</v>
      </c>
      <c r="C34" s="66">
        <v>853</v>
      </c>
      <c r="D34" s="66">
        <v>110</v>
      </c>
      <c r="E34" s="66">
        <v>62</v>
      </c>
      <c r="F34" s="66">
        <v>0</v>
      </c>
      <c r="G34" s="66">
        <v>26</v>
      </c>
      <c r="H34" s="66">
        <v>1</v>
      </c>
      <c r="I34" s="66">
        <v>0</v>
      </c>
      <c r="J34" s="66">
        <v>1</v>
      </c>
      <c r="K34" s="66">
        <v>0</v>
      </c>
      <c r="L34" s="29"/>
      <c r="M34" s="66">
        <v>0</v>
      </c>
      <c r="N34" s="29"/>
      <c r="O34" s="66">
        <v>0</v>
      </c>
      <c r="P34" s="66">
        <v>0</v>
      </c>
      <c r="Q34" s="66">
        <v>14</v>
      </c>
      <c r="R34" s="66">
        <v>0</v>
      </c>
      <c r="S34" s="66">
        <v>3</v>
      </c>
      <c r="T34" s="66">
        <v>10</v>
      </c>
      <c r="U34" s="66">
        <f t="shared" si="17"/>
        <v>1070</v>
      </c>
      <c r="V34" s="66">
        <v>0</v>
      </c>
      <c r="W34" s="66">
        <v>0</v>
      </c>
      <c r="X34" s="66">
        <v>0</v>
      </c>
      <c r="Y34" s="69">
        <f t="shared" si="0"/>
        <v>7.2000000000000064E-2</v>
      </c>
      <c r="Z34" s="66">
        <v>2678</v>
      </c>
      <c r="AA34" s="66">
        <f t="shared" si="1"/>
        <v>3312</v>
      </c>
      <c r="AB34" s="69">
        <v>1.45</v>
      </c>
      <c r="AC34" s="66">
        <f t="shared" si="2"/>
        <v>2711175</v>
      </c>
      <c r="AD34" s="92">
        <f t="shared" si="3"/>
        <v>508544</v>
      </c>
      <c r="AE34" s="66">
        <f t="shared" si="4"/>
        <v>0</v>
      </c>
      <c r="AF34" s="66">
        <f t="shared" si="5"/>
        <v>0</v>
      </c>
      <c r="AG34" s="66"/>
      <c r="AH34" s="66">
        <f t="shared" si="6"/>
        <v>0</v>
      </c>
      <c r="AI34" s="66"/>
      <c r="AJ34" s="19">
        <f t="shared" si="7"/>
        <v>3219719</v>
      </c>
      <c r="AK34" s="29">
        <f t="shared" si="8"/>
        <v>1.1200000000000001</v>
      </c>
      <c r="AL34" s="66">
        <f t="shared" si="18"/>
        <v>270054</v>
      </c>
      <c r="AM34" s="19">
        <f t="shared" si="9"/>
        <v>8768</v>
      </c>
      <c r="AN34" s="19">
        <f t="shared" si="10"/>
        <v>27926</v>
      </c>
      <c r="AO34" s="19">
        <f t="shared" si="11"/>
        <v>17361</v>
      </c>
      <c r="AP34" s="19"/>
      <c r="AQ34" s="19">
        <f t="shared" si="19"/>
        <v>324109</v>
      </c>
      <c r="AR34" s="19">
        <f t="shared" si="20"/>
        <v>145446</v>
      </c>
      <c r="AS34" s="19">
        <f t="shared" si="21"/>
        <v>18574</v>
      </c>
      <c r="AT34" s="19">
        <f t="shared" si="22"/>
        <v>60853</v>
      </c>
      <c r="AU34" s="19">
        <f t="shared" si="12"/>
        <v>183925</v>
      </c>
      <c r="AV34" s="19">
        <f t="shared" si="13"/>
        <v>206712</v>
      </c>
      <c r="AW34" s="19">
        <f t="shared" si="14"/>
        <v>13113</v>
      </c>
      <c r="AX34" s="19">
        <f t="shared" si="15"/>
        <v>4172451</v>
      </c>
      <c r="AY34" s="19">
        <v>3540337</v>
      </c>
      <c r="AZ34" s="19">
        <f t="shared" si="16"/>
        <v>632114</v>
      </c>
      <c r="BB34" s="19">
        <v>145446</v>
      </c>
      <c r="BC34" s="19">
        <v>18574</v>
      </c>
      <c r="BD34" s="2"/>
      <c r="BE34" s="94">
        <v>73</v>
      </c>
      <c r="BF34" s="94">
        <v>1.089</v>
      </c>
    </row>
    <row r="35" spans="1:58" ht="14.4" x14ac:dyDescent="0.25">
      <c r="A35" s="28" t="s">
        <v>47</v>
      </c>
      <c r="B35" s="29" t="s">
        <v>48</v>
      </c>
      <c r="C35" s="66">
        <v>1180</v>
      </c>
      <c r="D35" s="66">
        <v>0</v>
      </c>
      <c r="E35" s="66">
        <v>108</v>
      </c>
      <c r="F35" s="66">
        <v>0</v>
      </c>
      <c r="G35" s="66">
        <v>4</v>
      </c>
      <c r="H35" s="66">
        <v>0</v>
      </c>
      <c r="I35" s="66">
        <v>0</v>
      </c>
      <c r="J35" s="66">
        <v>0</v>
      </c>
      <c r="K35" s="66">
        <v>0</v>
      </c>
      <c r="L35" s="29"/>
      <c r="M35" s="66">
        <v>0</v>
      </c>
      <c r="N35" s="29"/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f t="shared" si="17"/>
        <v>1292</v>
      </c>
      <c r="V35" s="66">
        <v>0</v>
      </c>
      <c r="W35" s="66">
        <v>0</v>
      </c>
      <c r="X35" s="66">
        <v>0</v>
      </c>
      <c r="Y35" s="69">
        <f t="shared" si="0"/>
        <v>0</v>
      </c>
      <c r="Z35" s="66">
        <v>2154</v>
      </c>
      <c r="AA35" s="66">
        <f t="shared" si="1"/>
        <v>2694</v>
      </c>
      <c r="AB35" s="69">
        <v>1.149</v>
      </c>
      <c r="AC35" s="66">
        <f t="shared" si="2"/>
        <v>2971957</v>
      </c>
      <c r="AD35" s="92">
        <f t="shared" si="3"/>
        <v>508544</v>
      </c>
      <c r="AE35" s="66">
        <f t="shared" si="4"/>
        <v>0</v>
      </c>
      <c r="AF35" s="66">
        <f t="shared" si="5"/>
        <v>0</v>
      </c>
      <c r="AG35" s="66"/>
      <c r="AH35" s="66">
        <f t="shared" si="6"/>
        <v>0</v>
      </c>
      <c r="AI35" s="66"/>
      <c r="AJ35" s="19">
        <f t="shared" si="7"/>
        <v>3480501</v>
      </c>
      <c r="AK35" s="29">
        <f t="shared" si="8"/>
        <v>1.1200000000000001</v>
      </c>
      <c r="AL35" s="66">
        <f t="shared" si="18"/>
        <v>0</v>
      </c>
      <c r="AM35" s="19">
        <f t="shared" si="9"/>
        <v>0</v>
      </c>
      <c r="AN35" s="19">
        <f t="shared" si="10"/>
        <v>0</v>
      </c>
      <c r="AO35" s="19">
        <f t="shared" si="11"/>
        <v>0</v>
      </c>
      <c r="AP35" s="19"/>
      <c r="AQ35" s="19">
        <f t="shared" si="19"/>
        <v>0</v>
      </c>
      <c r="AR35" s="19">
        <f t="shared" si="20"/>
        <v>139738</v>
      </c>
      <c r="AS35" s="19">
        <f t="shared" si="21"/>
        <v>17001</v>
      </c>
      <c r="AT35" s="19">
        <f t="shared" si="22"/>
        <v>73644</v>
      </c>
      <c r="AU35" s="19">
        <f t="shared" si="12"/>
        <v>226100</v>
      </c>
      <c r="AV35" s="19">
        <f t="shared" si="13"/>
        <v>147312</v>
      </c>
      <c r="AW35" s="19">
        <f t="shared" si="14"/>
        <v>14252</v>
      </c>
      <c r="AX35" s="19">
        <f t="shared" si="15"/>
        <v>4098548</v>
      </c>
      <c r="AY35" s="19">
        <v>3180989</v>
      </c>
      <c r="AZ35" s="19">
        <f t="shared" si="16"/>
        <v>917559</v>
      </c>
      <c r="BB35" s="19">
        <v>139738</v>
      </c>
      <c r="BC35" s="19">
        <v>17001</v>
      </c>
      <c r="BD35" s="2"/>
      <c r="BE35" s="94">
        <v>74</v>
      </c>
      <c r="BF35" s="94">
        <v>1.089</v>
      </c>
    </row>
    <row r="36" spans="1:58" ht="14.4" x14ac:dyDescent="0.25">
      <c r="A36" s="28" t="s">
        <v>47</v>
      </c>
      <c r="B36" s="29" t="s">
        <v>353</v>
      </c>
      <c r="C36" s="66">
        <v>697</v>
      </c>
      <c r="D36" s="66">
        <v>30</v>
      </c>
      <c r="E36" s="66">
        <v>25</v>
      </c>
      <c r="F36" s="66">
        <v>0</v>
      </c>
      <c r="G36" s="66">
        <v>6</v>
      </c>
      <c r="H36" s="66">
        <v>0</v>
      </c>
      <c r="I36" s="66">
        <v>0</v>
      </c>
      <c r="J36" s="66">
        <v>0</v>
      </c>
      <c r="K36" s="66">
        <v>3</v>
      </c>
      <c r="L36" s="29"/>
      <c r="M36" s="66">
        <v>0</v>
      </c>
      <c r="N36" s="29"/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f t="shared" si="17"/>
        <v>761</v>
      </c>
      <c r="V36" s="66">
        <v>0</v>
      </c>
      <c r="W36" s="66">
        <v>0</v>
      </c>
      <c r="X36" s="66">
        <v>0</v>
      </c>
      <c r="Y36" s="69">
        <f t="shared" ref="Y36:Y67" si="23">IF(AND(D36&lt;251,D36&gt;=43),VLOOKUP(D36,BE$4:BF$211,2,FALSE)-1,0)</f>
        <v>0</v>
      </c>
      <c r="Z36" s="66">
        <v>3013</v>
      </c>
      <c r="AA36" s="66">
        <f t="shared" ref="AA36:AA67" si="24">ROUND((SUM(AC36:AG36)+AQ36)/U36,0)</f>
        <v>3750</v>
      </c>
      <c r="AB36" s="69">
        <v>1.7110000000000001</v>
      </c>
      <c r="AC36" s="66">
        <f t="shared" ref="AC36:AC67" si="25">ROUND(C36*AB36*C$88,0)</f>
        <v>2614107</v>
      </c>
      <c r="AD36" s="92">
        <f t="shared" ref="AD36:AD67" si="26">ROUND((E36*E$84+G36*G$84+H36*H$84)*C$88,0)</f>
        <v>162208</v>
      </c>
      <c r="AE36" s="66">
        <f t="shared" ref="AE36:AE67" si="27">ROUND(K36*K$84*C$88,0)</f>
        <v>3485</v>
      </c>
      <c r="AF36" s="66">
        <f t="shared" ref="AF36:AF67" si="28">ROUND((M36*M$84+N36*N$84+P36*P$84)*C$88,0)</f>
        <v>0</v>
      </c>
      <c r="AG36" s="66"/>
      <c r="AH36" s="66">
        <f t="shared" ref="AH36:AH67" si="29">IF(AA36&lt;Z36,(Z36-AA36)*U36,0)</f>
        <v>0</v>
      </c>
      <c r="AI36" s="66"/>
      <c r="AJ36" s="19">
        <f t="shared" ref="AJ36:AJ67" si="30">SUM(AC36:AI36)</f>
        <v>2779800</v>
      </c>
      <c r="AK36" s="29">
        <f t="shared" ref="AK36:AK67" si="31">IF(D36&lt;400,1.12,IF(D36&lt;=500,1.06,1))</f>
        <v>1.1200000000000001</v>
      </c>
      <c r="AL36" s="66">
        <f t="shared" si="18"/>
        <v>73651</v>
      </c>
      <c r="AM36" s="19">
        <f t="shared" ref="AM36:AM67" si="32">ROUND((F36*F$84+I36*I$84+J36*J$84)*C$88,0)</f>
        <v>0</v>
      </c>
      <c r="AN36" s="19">
        <f t="shared" ref="AN36:AN67" si="33">ROUND((Q36*Q$84)*C$88,0)+ROUND((T36*T$84)*C$88,0)+ROUND((R36*R$84)*C$88,0)</f>
        <v>0</v>
      </c>
      <c r="AO36" s="19">
        <f t="shared" ref="AO36:AO67" si="34">ROUND(D36*Y36*C$88,0)</f>
        <v>0</v>
      </c>
      <c r="AP36" s="19"/>
      <c r="AQ36" s="19">
        <f t="shared" si="19"/>
        <v>73651</v>
      </c>
      <c r="AR36" s="19">
        <f t="shared" si="20"/>
        <v>122691</v>
      </c>
      <c r="AS36" s="19">
        <f t="shared" si="21"/>
        <v>13732</v>
      </c>
      <c r="AT36" s="19">
        <f t="shared" si="22"/>
        <v>43377</v>
      </c>
      <c r="AU36" s="19">
        <f t="shared" ref="AU36:AU67" si="35">ROUND((C36+D36+E36+F36+G36+I36)*C$92,0)</f>
        <v>132650</v>
      </c>
      <c r="AV36" s="19">
        <f t="shared" ref="AV36:AV67" si="36">ROUND((E36*E$85+F36*F$85+G36*G$85+H36*H$85+I36*I$85+J36*J$85)*C$93,0)+ROUND((V36*V$85)*C$93,0)+ROUND((W36*W$85+X36*X$85)*C$93,0)</f>
        <v>58212</v>
      </c>
      <c r="AW36" s="19">
        <f t="shared" ref="AW36:AW67" si="37">ROUND((C36+E36+G36+H36+K36)*AB36*C$94,0)</f>
        <v>12008</v>
      </c>
      <c r="AX36" s="19">
        <f t="shared" ref="AX36:AX67" si="38">AJ36+AQ36+AR36+AS36+AT36+AU36+AV36+AW36</f>
        <v>3236121</v>
      </c>
      <c r="AY36" s="19">
        <v>2534449</v>
      </c>
      <c r="AZ36" s="19">
        <f t="shared" ref="AZ36:AZ67" si="39">AX36-AY36</f>
        <v>701672</v>
      </c>
      <c r="BB36" s="19">
        <v>122691</v>
      </c>
      <c r="BC36" s="19">
        <v>13732</v>
      </c>
      <c r="BD36" s="2"/>
      <c r="BE36" s="94">
        <v>75</v>
      </c>
      <c r="BF36" s="94">
        <v>1.089</v>
      </c>
    </row>
    <row r="37" spans="1:58" ht="14.4" x14ac:dyDescent="0.25">
      <c r="A37" s="28" t="s">
        <v>47</v>
      </c>
      <c r="B37" s="29" t="s">
        <v>349</v>
      </c>
      <c r="C37" s="66">
        <v>17</v>
      </c>
      <c r="D37" s="66">
        <v>0</v>
      </c>
      <c r="E37" s="66">
        <v>1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3</v>
      </c>
      <c r="L37" s="29"/>
      <c r="M37" s="66">
        <v>0</v>
      </c>
      <c r="N37" s="29"/>
      <c r="O37" s="66">
        <v>0</v>
      </c>
      <c r="P37" s="66">
        <v>0</v>
      </c>
      <c r="Q37" s="66">
        <v>0</v>
      </c>
      <c r="R37" s="66">
        <v>0</v>
      </c>
      <c r="S37" s="66">
        <v>0</v>
      </c>
      <c r="T37" s="66">
        <v>0</v>
      </c>
      <c r="U37" s="66">
        <f t="shared" si="17"/>
        <v>21</v>
      </c>
      <c r="V37" s="66">
        <v>0</v>
      </c>
      <c r="W37" s="66">
        <v>0</v>
      </c>
      <c r="X37" s="66">
        <v>0</v>
      </c>
      <c r="Y37" s="69">
        <f t="shared" si="23"/>
        <v>0</v>
      </c>
      <c r="Z37" s="66">
        <v>6635</v>
      </c>
      <c r="AA37" s="66">
        <f t="shared" si="24"/>
        <v>10178</v>
      </c>
      <c r="AB37" s="69">
        <v>2.0299999999999998</v>
      </c>
      <c r="AC37" s="66">
        <f t="shared" si="25"/>
        <v>75646</v>
      </c>
      <c r="AD37" s="92">
        <f t="shared" si="26"/>
        <v>4384</v>
      </c>
      <c r="AE37" s="66">
        <f t="shared" si="27"/>
        <v>3485</v>
      </c>
      <c r="AF37" s="66">
        <f t="shared" si="28"/>
        <v>0</v>
      </c>
      <c r="AG37" s="95">
        <f>ROUND(MAX(SUM(AC37:AF37),C$95*6.5)-SUM(AC37:AF37),0)</f>
        <v>130225</v>
      </c>
      <c r="AH37" s="66">
        <f t="shared" si="29"/>
        <v>0</v>
      </c>
      <c r="AI37" s="66"/>
      <c r="AJ37" s="19">
        <f t="shared" si="30"/>
        <v>213740</v>
      </c>
      <c r="AK37" s="29">
        <f t="shared" si="31"/>
        <v>1.1200000000000001</v>
      </c>
      <c r="AL37" s="66">
        <f t="shared" si="18"/>
        <v>0</v>
      </c>
      <c r="AM37" s="19">
        <f t="shared" si="32"/>
        <v>0</v>
      </c>
      <c r="AN37" s="19">
        <f t="shared" si="33"/>
        <v>0</v>
      </c>
      <c r="AO37" s="19">
        <f t="shared" si="34"/>
        <v>0</v>
      </c>
      <c r="AP37" s="19"/>
      <c r="AQ37" s="19">
        <f t="shared" si="19"/>
        <v>0</v>
      </c>
      <c r="AR37" s="19">
        <f t="shared" ref="AR37:AR68" si="40">MAX(U37*C$89,BB37)</f>
        <v>6621</v>
      </c>
      <c r="AS37" s="19">
        <f t="shared" ref="AS37:AS68" si="41">MAX(U37*C$90,BC37)</f>
        <v>984</v>
      </c>
      <c r="AT37" s="19">
        <f t="shared" si="22"/>
        <v>1197</v>
      </c>
      <c r="AU37" s="19">
        <f t="shared" si="35"/>
        <v>3150</v>
      </c>
      <c r="AV37" s="19">
        <f t="shared" si="36"/>
        <v>1188</v>
      </c>
      <c r="AW37" s="19">
        <f t="shared" si="37"/>
        <v>409</v>
      </c>
      <c r="AX37" s="19">
        <f t="shared" si="38"/>
        <v>227289</v>
      </c>
      <c r="AY37" s="19">
        <v>191915</v>
      </c>
      <c r="AZ37" s="19">
        <f t="shared" si="39"/>
        <v>35374</v>
      </c>
      <c r="BB37" s="19">
        <v>6621</v>
      </c>
      <c r="BC37" s="19">
        <v>984</v>
      </c>
      <c r="BD37" s="2"/>
      <c r="BE37" s="94">
        <v>76</v>
      </c>
      <c r="BF37" s="94">
        <v>1.0880000000000001</v>
      </c>
    </row>
    <row r="38" spans="1:58" ht="14.4" x14ac:dyDescent="0.25">
      <c r="A38" s="28" t="s">
        <v>38</v>
      </c>
      <c r="B38" s="29" t="s">
        <v>344</v>
      </c>
      <c r="C38" s="66">
        <v>299</v>
      </c>
      <c r="D38" s="66">
        <v>0</v>
      </c>
      <c r="E38" s="66">
        <v>16</v>
      </c>
      <c r="F38" s="66">
        <v>0</v>
      </c>
      <c r="G38" s="66">
        <v>3</v>
      </c>
      <c r="H38" s="66">
        <v>0</v>
      </c>
      <c r="I38" s="66">
        <v>0</v>
      </c>
      <c r="J38" s="66">
        <v>0</v>
      </c>
      <c r="K38" s="66">
        <v>0</v>
      </c>
      <c r="L38" s="29"/>
      <c r="M38" s="66">
        <v>0</v>
      </c>
      <c r="N38" s="29"/>
      <c r="O38" s="66">
        <v>0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f t="shared" si="17"/>
        <v>318</v>
      </c>
      <c r="V38" s="66">
        <v>0</v>
      </c>
      <c r="W38" s="66">
        <v>0</v>
      </c>
      <c r="X38" s="66">
        <v>0</v>
      </c>
      <c r="Y38" s="69">
        <f t="shared" si="23"/>
        <v>0</v>
      </c>
      <c r="Z38" s="66">
        <v>2521</v>
      </c>
      <c r="AA38" s="66">
        <f t="shared" si="24"/>
        <v>3158</v>
      </c>
      <c r="AB38" s="69">
        <v>1.385</v>
      </c>
      <c r="AC38" s="66">
        <f t="shared" si="25"/>
        <v>907740</v>
      </c>
      <c r="AD38" s="92">
        <f t="shared" si="26"/>
        <v>96448</v>
      </c>
      <c r="AE38" s="66">
        <f t="shared" si="27"/>
        <v>0</v>
      </c>
      <c r="AF38" s="66">
        <f t="shared" si="28"/>
        <v>0</v>
      </c>
      <c r="AG38" s="66"/>
      <c r="AH38" s="66">
        <f t="shared" si="29"/>
        <v>0</v>
      </c>
      <c r="AI38" s="66"/>
      <c r="AJ38" s="19">
        <f t="shared" si="30"/>
        <v>1004188</v>
      </c>
      <c r="AK38" s="29">
        <f t="shared" si="31"/>
        <v>1.1200000000000001</v>
      </c>
      <c r="AL38" s="66">
        <f t="shared" si="18"/>
        <v>0</v>
      </c>
      <c r="AM38" s="19">
        <f t="shared" si="32"/>
        <v>0</v>
      </c>
      <c r="AN38" s="19">
        <f t="shared" si="33"/>
        <v>0</v>
      </c>
      <c r="AO38" s="19">
        <f t="shared" si="34"/>
        <v>0</v>
      </c>
      <c r="AP38" s="19"/>
      <c r="AQ38" s="19">
        <f t="shared" si="19"/>
        <v>0</v>
      </c>
      <c r="AR38" s="19">
        <f t="shared" si="40"/>
        <v>46029</v>
      </c>
      <c r="AS38" s="19">
        <f t="shared" si="41"/>
        <v>5159</v>
      </c>
      <c r="AT38" s="19">
        <f t="shared" si="22"/>
        <v>18126</v>
      </c>
      <c r="AU38" s="19">
        <f t="shared" si="35"/>
        <v>55650</v>
      </c>
      <c r="AV38" s="19">
        <f t="shared" si="36"/>
        <v>33264</v>
      </c>
      <c r="AW38" s="19">
        <f t="shared" si="37"/>
        <v>4228</v>
      </c>
      <c r="AX38" s="19">
        <f t="shared" si="38"/>
        <v>1166644</v>
      </c>
      <c r="AY38" s="19">
        <v>901501</v>
      </c>
      <c r="AZ38" s="19">
        <f t="shared" si="39"/>
        <v>265143</v>
      </c>
      <c r="BB38" s="19">
        <v>46029</v>
      </c>
      <c r="BC38" s="19">
        <v>5159</v>
      </c>
      <c r="BD38" s="2"/>
      <c r="BE38" s="94">
        <v>77</v>
      </c>
      <c r="BF38" s="94">
        <v>1.0880000000000001</v>
      </c>
    </row>
    <row r="39" spans="1:58" ht="14.4" x14ac:dyDescent="0.25">
      <c r="A39" s="28" t="s">
        <v>38</v>
      </c>
      <c r="B39" s="29" t="s">
        <v>342</v>
      </c>
      <c r="C39" s="66">
        <v>464</v>
      </c>
      <c r="D39" s="66">
        <v>105</v>
      </c>
      <c r="E39" s="66">
        <v>74</v>
      </c>
      <c r="F39" s="66">
        <v>0</v>
      </c>
      <c r="G39" s="66">
        <v>3</v>
      </c>
      <c r="H39" s="66">
        <v>1</v>
      </c>
      <c r="I39" s="66">
        <v>0</v>
      </c>
      <c r="J39" s="66">
        <v>0</v>
      </c>
      <c r="K39" s="66">
        <v>1</v>
      </c>
      <c r="L39" s="29"/>
      <c r="M39" s="66">
        <v>0</v>
      </c>
      <c r="N39" s="29"/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f t="shared" si="17"/>
        <v>648</v>
      </c>
      <c r="V39" s="66">
        <v>0</v>
      </c>
      <c r="W39" s="66">
        <v>0</v>
      </c>
      <c r="X39" s="66">
        <v>0</v>
      </c>
      <c r="Y39" s="69">
        <f t="shared" si="23"/>
        <v>7.4000000000000066E-2</v>
      </c>
      <c r="Z39" s="66">
        <v>2302</v>
      </c>
      <c r="AA39" s="66">
        <f t="shared" si="24"/>
        <v>2848</v>
      </c>
      <c r="AB39" s="69">
        <v>1.19</v>
      </c>
      <c r="AC39" s="66">
        <f t="shared" si="25"/>
        <v>1210335</v>
      </c>
      <c r="AD39" s="92">
        <f t="shared" si="26"/>
        <v>359488</v>
      </c>
      <c r="AE39" s="66">
        <f t="shared" si="27"/>
        <v>1162</v>
      </c>
      <c r="AF39" s="66">
        <f t="shared" si="28"/>
        <v>0</v>
      </c>
      <c r="AG39" s="66"/>
      <c r="AH39" s="66">
        <f t="shared" si="29"/>
        <v>0</v>
      </c>
      <c r="AI39" s="66"/>
      <c r="AJ39" s="19">
        <f t="shared" si="30"/>
        <v>1570985</v>
      </c>
      <c r="AK39" s="29">
        <f t="shared" si="31"/>
        <v>1.1200000000000001</v>
      </c>
      <c r="AL39" s="66">
        <f t="shared" si="18"/>
        <v>257779</v>
      </c>
      <c r="AM39" s="19">
        <f t="shared" si="32"/>
        <v>0</v>
      </c>
      <c r="AN39" s="19">
        <f t="shared" si="33"/>
        <v>0</v>
      </c>
      <c r="AO39" s="19">
        <f t="shared" si="34"/>
        <v>17032</v>
      </c>
      <c r="AP39" s="19"/>
      <c r="AQ39" s="19">
        <f t="shared" si="19"/>
        <v>274811</v>
      </c>
      <c r="AR39" s="19">
        <f t="shared" si="40"/>
        <v>59616</v>
      </c>
      <c r="AS39" s="19">
        <f t="shared" si="41"/>
        <v>8199</v>
      </c>
      <c r="AT39" s="19">
        <f t="shared" si="22"/>
        <v>36936</v>
      </c>
      <c r="AU39" s="19">
        <f t="shared" si="35"/>
        <v>113050</v>
      </c>
      <c r="AV39" s="19">
        <f t="shared" si="36"/>
        <v>106920</v>
      </c>
      <c r="AW39" s="19">
        <f t="shared" si="37"/>
        <v>6204</v>
      </c>
      <c r="AX39" s="19">
        <f t="shared" si="38"/>
        <v>2176721</v>
      </c>
      <c r="AY39" s="19">
        <v>1751755</v>
      </c>
      <c r="AZ39" s="19">
        <f t="shared" si="39"/>
        <v>424966</v>
      </c>
      <c r="BB39" s="19">
        <v>49770</v>
      </c>
      <c r="BC39" s="19">
        <v>8199</v>
      </c>
      <c r="BD39" s="2"/>
      <c r="BE39" s="94">
        <v>78</v>
      </c>
      <c r="BF39" s="94">
        <v>1.087</v>
      </c>
    </row>
    <row r="40" spans="1:58" ht="14.4" x14ac:dyDescent="0.25">
      <c r="A40" s="28" t="s">
        <v>38</v>
      </c>
      <c r="B40" s="29" t="s">
        <v>336</v>
      </c>
      <c r="C40" s="66">
        <v>356</v>
      </c>
      <c r="D40" s="66">
        <v>0</v>
      </c>
      <c r="E40" s="66">
        <v>49</v>
      </c>
      <c r="F40" s="66">
        <v>0</v>
      </c>
      <c r="G40" s="66">
        <v>43</v>
      </c>
      <c r="H40" s="66">
        <v>0</v>
      </c>
      <c r="I40" s="66">
        <v>0</v>
      </c>
      <c r="J40" s="66">
        <v>0</v>
      </c>
      <c r="K40" s="66">
        <v>0</v>
      </c>
      <c r="L40" s="29"/>
      <c r="M40" s="66">
        <v>0</v>
      </c>
      <c r="N40" s="29"/>
      <c r="O40" s="66">
        <v>0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f t="shared" si="17"/>
        <v>448</v>
      </c>
      <c r="V40" s="66">
        <v>0</v>
      </c>
      <c r="W40" s="66">
        <v>0</v>
      </c>
      <c r="X40" s="66">
        <v>0</v>
      </c>
      <c r="Y40" s="69">
        <f t="shared" si="23"/>
        <v>0</v>
      </c>
      <c r="Z40" s="66">
        <v>3169</v>
      </c>
      <c r="AA40" s="66">
        <f t="shared" si="24"/>
        <v>4037</v>
      </c>
      <c r="AB40" s="69">
        <v>1.5589999999999999</v>
      </c>
      <c r="AC40" s="66">
        <f t="shared" si="25"/>
        <v>1216569</v>
      </c>
      <c r="AD40" s="92">
        <f t="shared" si="26"/>
        <v>591840</v>
      </c>
      <c r="AE40" s="66">
        <f t="shared" si="27"/>
        <v>0</v>
      </c>
      <c r="AF40" s="66">
        <f t="shared" si="28"/>
        <v>0</v>
      </c>
      <c r="AG40" s="66"/>
      <c r="AH40" s="66">
        <f t="shared" si="29"/>
        <v>0</v>
      </c>
      <c r="AI40" s="66"/>
      <c r="AJ40" s="19">
        <f t="shared" si="30"/>
        <v>1808409</v>
      </c>
      <c r="AK40" s="29">
        <f t="shared" si="31"/>
        <v>1.1200000000000001</v>
      </c>
      <c r="AL40" s="66">
        <f t="shared" si="18"/>
        <v>0</v>
      </c>
      <c r="AM40" s="19">
        <f t="shared" si="32"/>
        <v>0</v>
      </c>
      <c r="AN40" s="19">
        <f t="shared" si="33"/>
        <v>0</v>
      </c>
      <c r="AO40" s="19">
        <f t="shared" si="34"/>
        <v>0</v>
      </c>
      <c r="AP40" s="19"/>
      <c r="AQ40" s="19">
        <f t="shared" si="19"/>
        <v>0</v>
      </c>
      <c r="AR40" s="19">
        <f t="shared" si="40"/>
        <v>54947</v>
      </c>
      <c r="AS40" s="19">
        <f t="shared" si="41"/>
        <v>5975</v>
      </c>
      <c r="AT40" s="19">
        <f t="shared" si="22"/>
        <v>25536</v>
      </c>
      <c r="AU40" s="19">
        <f t="shared" si="35"/>
        <v>78400</v>
      </c>
      <c r="AV40" s="19">
        <f t="shared" si="36"/>
        <v>262548</v>
      </c>
      <c r="AW40" s="19">
        <f t="shared" si="37"/>
        <v>6705</v>
      </c>
      <c r="AX40" s="19">
        <f t="shared" si="38"/>
        <v>2242520</v>
      </c>
      <c r="AY40" s="19">
        <v>1754395</v>
      </c>
      <c r="AZ40" s="19">
        <f t="shared" si="39"/>
        <v>488125</v>
      </c>
      <c r="BB40" s="19">
        <v>54947</v>
      </c>
      <c r="BC40" s="19">
        <v>5975</v>
      </c>
      <c r="BD40" s="2"/>
      <c r="BE40" s="94">
        <v>79</v>
      </c>
      <c r="BF40" s="94">
        <v>1.087</v>
      </c>
    </row>
    <row r="41" spans="1:58" ht="14.4" x14ac:dyDescent="0.25">
      <c r="A41" s="28" t="s">
        <v>38</v>
      </c>
      <c r="B41" s="29" t="s">
        <v>37</v>
      </c>
      <c r="C41" s="66">
        <v>1436</v>
      </c>
      <c r="D41" s="66">
        <v>0</v>
      </c>
      <c r="E41" s="66">
        <v>139</v>
      </c>
      <c r="F41" s="66">
        <v>0</v>
      </c>
      <c r="G41" s="66">
        <v>28</v>
      </c>
      <c r="H41" s="66">
        <v>2</v>
      </c>
      <c r="I41" s="66">
        <v>0</v>
      </c>
      <c r="J41" s="66">
        <v>0</v>
      </c>
      <c r="K41" s="66">
        <v>4</v>
      </c>
      <c r="L41" s="29"/>
      <c r="M41" s="66">
        <v>0</v>
      </c>
      <c r="N41" s="29"/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f t="shared" si="17"/>
        <v>1609</v>
      </c>
      <c r="V41" s="66">
        <v>0</v>
      </c>
      <c r="W41" s="66">
        <v>0</v>
      </c>
      <c r="X41" s="66">
        <v>0</v>
      </c>
      <c r="Y41" s="69">
        <f t="shared" si="23"/>
        <v>0</v>
      </c>
      <c r="Z41" s="66">
        <v>2035</v>
      </c>
      <c r="AA41" s="66">
        <f t="shared" si="24"/>
        <v>2580</v>
      </c>
      <c r="AB41" s="69">
        <v>1.04</v>
      </c>
      <c r="AC41" s="66">
        <f t="shared" si="25"/>
        <v>3273620</v>
      </c>
      <c r="AD41" s="92">
        <f t="shared" si="26"/>
        <v>872416</v>
      </c>
      <c r="AE41" s="66">
        <f t="shared" si="27"/>
        <v>4647</v>
      </c>
      <c r="AF41" s="66">
        <f t="shared" si="28"/>
        <v>0</v>
      </c>
      <c r="AG41" s="66"/>
      <c r="AH41" s="66">
        <f t="shared" si="29"/>
        <v>0</v>
      </c>
      <c r="AI41" s="66"/>
      <c r="AJ41" s="19">
        <f t="shared" si="30"/>
        <v>4150683</v>
      </c>
      <c r="AK41" s="29">
        <f t="shared" si="31"/>
        <v>1.1200000000000001</v>
      </c>
      <c r="AL41" s="66">
        <f t="shared" si="18"/>
        <v>0</v>
      </c>
      <c r="AM41" s="19">
        <f t="shared" si="32"/>
        <v>0</v>
      </c>
      <c r="AN41" s="19">
        <f t="shared" si="33"/>
        <v>0</v>
      </c>
      <c r="AO41" s="19">
        <f t="shared" si="34"/>
        <v>0</v>
      </c>
      <c r="AP41" s="19"/>
      <c r="AQ41" s="19">
        <f t="shared" si="19"/>
        <v>0</v>
      </c>
      <c r="AR41" s="19">
        <f t="shared" si="40"/>
        <v>161729</v>
      </c>
      <c r="AS41" s="19">
        <f t="shared" si="41"/>
        <v>25349</v>
      </c>
      <c r="AT41" s="19">
        <f t="shared" si="22"/>
        <v>91713</v>
      </c>
      <c r="AU41" s="19">
        <f t="shared" si="35"/>
        <v>280525</v>
      </c>
      <c r="AV41" s="19">
        <f t="shared" si="36"/>
        <v>307692</v>
      </c>
      <c r="AW41" s="19">
        <f t="shared" si="37"/>
        <v>16065</v>
      </c>
      <c r="AX41" s="19">
        <f t="shared" si="38"/>
        <v>5033756</v>
      </c>
      <c r="AY41" s="19">
        <v>4925833</v>
      </c>
      <c r="AZ41" s="19">
        <f t="shared" si="39"/>
        <v>107923</v>
      </c>
      <c r="BB41" s="19">
        <v>161729</v>
      </c>
      <c r="BC41" s="19">
        <v>25349</v>
      </c>
      <c r="BD41" s="2"/>
      <c r="BE41" s="94">
        <v>80</v>
      </c>
      <c r="BF41" s="94">
        <v>1.0860000000000001</v>
      </c>
    </row>
    <row r="42" spans="1:58" ht="14.4" x14ac:dyDescent="0.25">
      <c r="A42" s="28" t="s">
        <v>38</v>
      </c>
      <c r="B42" s="29" t="s">
        <v>328</v>
      </c>
      <c r="C42" s="66">
        <v>927</v>
      </c>
      <c r="D42" s="66">
        <v>126</v>
      </c>
      <c r="E42" s="66">
        <v>69</v>
      </c>
      <c r="F42" s="66">
        <v>0</v>
      </c>
      <c r="G42" s="66">
        <v>9</v>
      </c>
      <c r="H42" s="66">
        <v>0</v>
      </c>
      <c r="I42" s="66">
        <v>0</v>
      </c>
      <c r="J42" s="66">
        <v>0</v>
      </c>
      <c r="K42" s="66">
        <v>1</v>
      </c>
      <c r="L42" s="29"/>
      <c r="M42" s="66">
        <v>0</v>
      </c>
      <c r="N42" s="29"/>
      <c r="O42" s="66">
        <v>0</v>
      </c>
      <c r="P42" s="66">
        <v>0</v>
      </c>
      <c r="Q42" s="66">
        <v>56</v>
      </c>
      <c r="R42" s="66">
        <v>0</v>
      </c>
      <c r="S42" s="66">
        <v>0</v>
      </c>
      <c r="T42" s="66">
        <v>0</v>
      </c>
      <c r="U42" s="66">
        <f t="shared" si="17"/>
        <v>1188</v>
      </c>
      <c r="V42" s="66">
        <v>0</v>
      </c>
      <c r="W42" s="66">
        <v>0</v>
      </c>
      <c r="X42" s="66">
        <v>0</v>
      </c>
      <c r="Y42" s="69">
        <f t="shared" si="23"/>
        <v>6.4000000000000057E-2</v>
      </c>
      <c r="Z42" s="66">
        <v>2319</v>
      </c>
      <c r="AA42" s="66">
        <f t="shared" si="24"/>
        <v>2837</v>
      </c>
      <c r="AB42" s="69">
        <v>1.244</v>
      </c>
      <c r="AC42" s="66">
        <f t="shared" si="25"/>
        <v>2527788</v>
      </c>
      <c r="AD42" s="92">
        <f t="shared" si="26"/>
        <v>381408</v>
      </c>
      <c r="AE42" s="66">
        <f t="shared" si="27"/>
        <v>1162</v>
      </c>
      <c r="AF42" s="66">
        <f t="shared" si="28"/>
        <v>0</v>
      </c>
      <c r="AG42" s="66"/>
      <c r="AH42" s="66">
        <f t="shared" si="29"/>
        <v>0</v>
      </c>
      <c r="AI42" s="66"/>
      <c r="AJ42" s="19">
        <f t="shared" si="30"/>
        <v>2910358</v>
      </c>
      <c r="AK42" s="29">
        <f t="shared" si="31"/>
        <v>1.1200000000000001</v>
      </c>
      <c r="AL42" s="66">
        <f t="shared" si="18"/>
        <v>309335</v>
      </c>
      <c r="AM42" s="19">
        <f t="shared" si="32"/>
        <v>0</v>
      </c>
      <c r="AN42" s="19">
        <f t="shared" si="33"/>
        <v>105567</v>
      </c>
      <c r="AO42" s="19">
        <f t="shared" si="34"/>
        <v>17676</v>
      </c>
      <c r="AP42" s="19">
        <f>ROUND(D42*C$88*AP$84,0)</f>
        <v>27619</v>
      </c>
      <c r="AQ42" s="19">
        <f t="shared" si="19"/>
        <v>460197</v>
      </c>
      <c r="AR42" s="19">
        <f t="shared" si="40"/>
        <v>140004</v>
      </c>
      <c r="AS42" s="19">
        <f t="shared" si="41"/>
        <v>18795</v>
      </c>
      <c r="AT42" s="19">
        <f t="shared" si="22"/>
        <v>67716</v>
      </c>
      <c r="AU42" s="19">
        <f t="shared" si="35"/>
        <v>197925</v>
      </c>
      <c r="AV42" s="19">
        <f t="shared" si="36"/>
        <v>124740</v>
      </c>
      <c r="AW42" s="19">
        <f t="shared" si="37"/>
        <v>12015</v>
      </c>
      <c r="AX42" s="19">
        <f t="shared" si="38"/>
        <v>3931750</v>
      </c>
      <c r="AY42" s="19">
        <v>3235632</v>
      </c>
      <c r="AZ42" s="19">
        <f t="shared" si="39"/>
        <v>696118</v>
      </c>
      <c r="BB42" s="19">
        <v>140004</v>
      </c>
      <c r="BC42" s="19">
        <v>18795</v>
      </c>
      <c r="BD42" s="2"/>
      <c r="BE42" s="94">
        <v>81</v>
      </c>
      <c r="BF42" s="94">
        <v>1.0860000000000001</v>
      </c>
    </row>
    <row r="43" spans="1:58" ht="14.4" x14ac:dyDescent="0.25">
      <c r="A43" s="28" t="s">
        <v>38</v>
      </c>
      <c r="B43" s="29" t="s">
        <v>324</v>
      </c>
      <c r="C43" s="66">
        <v>562</v>
      </c>
      <c r="D43" s="66">
        <v>54</v>
      </c>
      <c r="E43" s="66">
        <v>35</v>
      </c>
      <c r="F43" s="66">
        <v>0</v>
      </c>
      <c r="G43" s="66">
        <v>11</v>
      </c>
      <c r="H43" s="66">
        <v>0</v>
      </c>
      <c r="I43" s="66">
        <v>0</v>
      </c>
      <c r="J43" s="66">
        <v>0</v>
      </c>
      <c r="K43" s="66">
        <v>1</v>
      </c>
      <c r="L43" s="29"/>
      <c r="M43" s="66">
        <v>0</v>
      </c>
      <c r="N43" s="29"/>
      <c r="O43" s="66">
        <v>0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f t="shared" si="17"/>
        <v>663</v>
      </c>
      <c r="V43" s="66">
        <v>0</v>
      </c>
      <c r="W43" s="66">
        <v>0</v>
      </c>
      <c r="X43" s="66">
        <v>0</v>
      </c>
      <c r="Y43" s="69">
        <f t="shared" si="23"/>
        <v>9.8999999999999977E-2</v>
      </c>
      <c r="Z43" s="66">
        <v>2757</v>
      </c>
      <c r="AA43" s="66">
        <f t="shared" si="24"/>
        <v>3424</v>
      </c>
      <c r="AB43" s="69">
        <v>1.522</v>
      </c>
      <c r="AC43" s="66">
        <f t="shared" si="25"/>
        <v>1874958</v>
      </c>
      <c r="AD43" s="92">
        <f t="shared" si="26"/>
        <v>249888</v>
      </c>
      <c r="AE43" s="66">
        <f t="shared" si="27"/>
        <v>1162</v>
      </c>
      <c r="AF43" s="66">
        <f t="shared" si="28"/>
        <v>0</v>
      </c>
      <c r="AG43" s="66"/>
      <c r="AH43" s="66">
        <f t="shared" si="29"/>
        <v>0</v>
      </c>
      <c r="AI43" s="66"/>
      <c r="AJ43" s="19">
        <f t="shared" si="30"/>
        <v>2126008</v>
      </c>
      <c r="AK43" s="29">
        <f t="shared" si="31"/>
        <v>1.1200000000000001</v>
      </c>
      <c r="AL43" s="66">
        <f t="shared" si="18"/>
        <v>132572</v>
      </c>
      <c r="AM43" s="19">
        <f t="shared" si="32"/>
        <v>0</v>
      </c>
      <c r="AN43" s="19">
        <f t="shared" si="33"/>
        <v>0</v>
      </c>
      <c r="AO43" s="19">
        <f t="shared" si="34"/>
        <v>11718</v>
      </c>
      <c r="AP43" s="19"/>
      <c r="AQ43" s="19">
        <f t="shared" si="19"/>
        <v>144290</v>
      </c>
      <c r="AR43" s="19">
        <f t="shared" si="40"/>
        <v>96413</v>
      </c>
      <c r="AS43" s="19">
        <f t="shared" si="41"/>
        <v>10536</v>
      </c>
      <c r="AT43" s="19">
        <f t="shared" si="22"/>
        <v>37791</v>
      </c>
      <c r="AU43" s="19">
        <f t="shared" si="35"/>
        <v>115850</v>
      </c>
      <c r="AV43" s="19">
        <f t="shared" si="36"/>
        <v>93852</v>
      </c>
      <c r="AW43" s="19">
        <f t="shared" si="37"/>
        <v>8899</v>
      </c>
      <c r="AX43" s="19">
        <f t="shared" si="38"/>
        <v>2633639</v>
      </c>
      <c r="AY43" s="19">
        <v>2025251</v>
      </c>
      <c r="AZ43" s="19">
        <f t="shared" si="39"/>
        <v>608388</v>
      </c>
      <c r="BB43" s="19">
        <v>96413</v>
      </c>
      <c r="BC43" s="19">
        <v>10536</v>
      </c>
      <c r="BD43" s="2"/>
      <c r="BE43" s="94">
        <v>82</v>
      </c>
      <c r="BF43" s="94">
        <v>1.085</v>
      </c>
    </row>
    <row r="44" spans="1:58" ht="14.4" x14ac:dyDescent="0.25">
      <c r="A44" s="28" t="s">
        <v>38</v>
      </c>
      <c r="B44" s="29" t="s">
        <v>322</v>
      </c>
      <c r="C44" s="66">
        <v>435</v>
      </c>
      <c r="D44" s="66">
        <v>43</v>
      </c>
      <c r="E44" s="66">
        <v>37</v>
      </c>
      <c r="F44" s="66">
        <v>0</v>
      </c>
      <c r="G44" s="66">
        <v>12</v>
      </c>
      <c r="H44" s="66">
        <v>0</v>
      </c>
      <c r="I44" s="66">
        <v>0</v>
      </c>
      <c r="J44" s="66">
        <v>0</v>
      </c>
      <c r="K44" s="66">
        <v>1</v>
      </c>
      <c r="L44" s="29"/>
      <c r="M44" s="66">
        <v>0</v>
      </c>
      <c r="N44" s="29"/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f t="shared" si="17"/>
        <v>528</v>
      </c>
      <c r="V44" s="66">
        <v>0</v>
      </c>
      <c r="W44" s="66">
        <v>0</v>
      </c>
      <c r="X44" s="66">
        <v>0</v>
      </c>
      <c r="Y44" s="69">
        <f t="shared" si="23"/>
        <v>6.9999999999998952E-3</v>
      </c>
      <c r="Z44" s="66">
        <v>2558</v>
      </c>
      <c r="AA44" s="66">
        <f t="shared" si="24"/>
        <v>3274</v>
      </c>
      <c r="AB44" s="69">
        <v>1.42</v>
      </c>
      <c r="AC44" s="66">
        <f t="shared" si="25"/>
        <v>1353998</v>
      </c>
      <c r="AD44" s="92">
        <f t="shared" si="26"/>
        <v>267424</v>
      </c>
      <c r="AE44" s="66">
        <f t="shared" si="27"/>
        <v>1162</v>
      </c>
      <c r="AF44" s="66">
        <f t="shared" si="28"/>
        <v>0</v>
      </c>
      <c r="AG44" s="66"/>
      <c r="AH44" s="66">
        <f t="shared" si="29"/>
        <v>0</v>
      </c>
      <c r="AI44" s="66"/>
      <c r="AJ44" s="19">
        <f t="shared" si="30"/>
        <v>1622584</v>
      </c>
      <c r="AK44" s="29">
        <f t="shared" si="31"/>
        <v>1.1200000000000001</v>
      </c>
      <c r="AL44" s="66">
        <f t="shared" si="18"/>
        <v>105567</v>
      </c>
      <c r="AM44" s="19">
        <f t="shared" si="32"/>
        <v>0</v>
      </c>
      <c r="AN44" s="19">
        <f t="shared" si="33"/>
        <v>0</v>
      </c>
      <c r="AO44" s="19">
        <f t="shared" si="34"/>
        <v>660</v>
      </c>
      <c r="AP44" s="19"/>
      <c r="AQ44" s="19">
        <f t="shared" si="19"/>
        <v>106227</v>
      </c>
      <c r="AR44" s="19">
        <f t="shared" si="40"/>
        <v>76723</v>
      </c>
      <c r="AS44" s="19">
        <f t="shared" si="41"/>
        <v>9349</v>
      </c>
      <c r="AT44" s="19">
        <f t="shared" si="22"/>
        <v>30096</v>
      </c>
      <c r="AU44" s="19">
        <f t="shared" si="35"/>
        <v>92225</v>
      </c>
      <c r="AV44" s="19">
        <f t="shared" si="36"/>
        <v>100980</v>
      </c>
      <c r="AW44" s="19">
        <f t="shared" si="37"/>
        <v>6612</v>
      </c>
      <c r="AX44" s="19">
        <f t="shared" si="38"/>
        <v>2044796</v>
      </c>
      <c r="AY44" s="19">
        <v>1569510</v>
      </c>
      <c r="AZ44" s="19">
        <f t="shared" si="39"/>
        <v>475286</v>
      </c>
      <c r="BB44" s="19">
        <v>76723</v>
      </c>
      <c r="BC44" s="19">
        <v>9349</v>
      </c>
      <c r="BD44" s="2"/>
      <c r="BE44" s="94">
        <v>83</v>
      </c>
      <c r="BF44" s="94">
        <v>1.085</v>
      </c>
    </row>
    <row r="45" spans="1:58" ht="14.4" x14ac:dyDescent="0.25">
      <c r="A45" s="28" t="s">
        <v>38</v>
      </c>
      <c r="B45" s="29" t="s">
        <v>320</v>
      </c>
      <c r="C45" s="66">
        <v>515</v>
      </c>
      <c r="D45" s="66">
        <v>59</v>
      </c>
      <c r="E45" s="66">
        <v>32</v>
      </c>
      <c r="F45" s="66">
        <v>0</v>
      </c>
      <c r="G45" s="66">
        <v>9</v>
      </c>
      <c r="H45" s="66">
        <v>0</v>
      </c>
      <c r="I45" s="66">
        <v>0</v>
      </c>
      <c r="J45" s="66">
        <v>0</v>
      </c>
      <c r="K45" s="66">
        <v>2</v>
      </c>
      <c r="L45" s="29"/>
      <c r="M45" s="66">
        <v>0</v>
      </c>
      <c r="N45" s="29"/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f t="shared" si="17"/>
        <v>617</v>
      </c>
      <c r="V45" s="66">
        <v>0</v>
      </c>
      <c r="W45" s="66">
        <v>0</v>
      </c>
      <c r="X45" s="66">
        <v>0</v>
      </c>
      <c r="Y45" s="69">
        <f t="shared" si="23"/>
        <v>9.6000000000000085E-2</v>
      </c>
      <c r="Z45" s="66">
        <v>2689</v>
      </c>
      <c r="AA45" s="66">
        <f t="shared" si="24"/>
        <v>3362</v>
      </c>
      <c r="AB45" s="69">
        <v>1.502</v>
      </c>
      <c r="AC45" s="66">
        <f t="shared" si="25"/>
        <v>1695578</v>
      </c>
      <c r="AD45" s="92">
        <f t="shared" si="26"/>
        <v>219200</v>
      </c>
      <c r="AE45" s="66">
        <f t="shared" si="27"/>
        <v>2324</v>
      </c>
      <c r="AF45" s="66">
        <f t="shared" si="28"/>
        <v>0</v>
      </c>
      <c r="AG45" s="66"/>
      <c r="AH45" s="66">
        <f t="shared" si="29"/>
        <v>0</v>
      </c>
      <c r="AI45" s="66"/>
      <c r="AJ45" s="19">
        <f t="shared" si="30"/>
        <v>1917102</v>
      </c>
      <c r="AK45" s="29">
        <f t="shared" si="31"/>
        <v>1.1200000000000001</v>
      </c>
      <c r="AL45" s="66">
        <f t="shared" si="18"/>
        <v>144847</v>
      </c>
      <c r="AM45" s="19">
        <f t="shared" si="32"/>
        <v>0</v>
      </c>
      <c r="AN45" s="19">
        <f t="shared" si="33"/>
        <v>0</v>
      </c>
      <c r="AO45" s="19">
        <f t="shared" si="34"/>
        <v>12415</v>
      </c>
      <c r="AP45" s="19"/>
      <c r="AQ45" s="19">
        <f t="shared" si="19"/>
        <v>157262</v>
      </c>
      <c r="AR45" s="19">
        <f t="shared" si="40"/>
        <v>91905</v>
      </c>
      <c r="AS45" s="19">
        <f t="shared" si="41"/>
        <v>11024</v>
      </c>
      <c r="AT45" s="19">
        <f t="shared" si="22"/>
        <v>35169</v>
      </c>
      <c r="AU45" s="19">
        <f t="shared" si="35"/>
        <v>107625</v>
      </c>
      <c r="AV45" s="19">
        <f t="shared" si="36"/>
        <v>80784</v>
      </c>
      <c r="AW45" s="19">
        <f t="shared" si="37"/>
        <v>8046</v>
      </c>
      <c r="AX45" s="19">
        <f t="shared" si="38"/>
        <v>2408917</v>
      </c>
      <c r="AY45" s="19">
        <v>1928669</v>
      </c>
      <c r="AZ45" s="19">
        <f t="shared" si="39"/>
        <v>480248</v>
      </c>
      <c r="BB45" s="19">
        <v>91905</v>
      </c>
      <c r="BC45" s="19">
        <v>11024</v>
      </c>
      <c r="BD45" s="2"/>
      <c r="BE45" s="94">
        <v>84</v>
      </c>
      <c r="BF45" s="94">
        <v>1.0840000000000001</v>
      </c>
    </row>
    <row r="46" spans="1:58" ht="14.4" x14ac:dyDescent="0.25">
      <c r="A46" s="28" t="s">
        <v>35</v>
      </c>
      <c r="B46" s="29" t="s">
        <v>316</v>
      </c>
      <c r="C46" s="66">
        <v>295</v>
      </c>
      <c r="D46" s="66">
        <v>43</v>
      </c>
      <c r="E46" s="66">
        <v>18</v>
      </c>
      <c r="F46" s="66">
        <v>0</v>
      </c>
      <c r="G46" s="66">
        <v>9</v>
      </c>
      <c r="H46" s="66">
        <v>0</v>
      </c>
      <c r="I46" s="66">
        <v>0</v>
      </c>
      <c r="J46" s="66">
        <v>0</v>
      </c>
      <c r="K46" s="66">
        <v>0</v>
      </c>
      <c r="L46" s="29"/>
      <c r="M46" s="66">
        <v>0</v>
      </c>
      <c r="N46" s="29"/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f t="shared" si="17"/>
        <v>365</v>
      </c>
      <c r="V46" s="66">
        <v>0</v>
      </c>
      <c r="W46" s="66">
        <v>0</v>
      </c>
      <c r="X46" s="66">
        <v>0</v>
      </c>
      <c r="Y46" s="69">
        <f t="shared" si="23"/>
        <v>6.9999999999998952E-3</v>
      </c>
      <c r="Z46" s="66">
        <v>2979</v>
      </c>
      <c r="AA46" s="66">
        <f t="shared" si="24"/>
        <v>3742</v>
      </c>
      <c r="AB46" s="69">
        <v>1.704</v>
      </c>
      <c r="AC46" s="66">
        <f t="shared" si="25"/>
        <v>1101875</v>
      </c>
      <c r="AD46" s="92">
        <f t="shared" si="26"/>
        <v>157824</v>
      </c>
      <c r="AE46" s="66">
        <f t="shared" si="27"/>
        <v>0</v>
      </c>
      <c r="AF46" s="66">
        <f t="shared" si="28"/>
        <v>0</v>
      </c>
      <c r="AG46" s="66"/>
      <c r="AH46" s="66">
        <f t="shared" si="29"/>
        <v>0</v>
      </c>
      <c r="AI46" s="66"/>
      <c r="AJ46" s="19">
        <f t="shared" si="30"/>
        <v>1259699</v>
      </c>
      <c r="AK46" s="29">
        <f t="shared" si="31"/>
        <v>1.1200000000000001</v>
      </c>
      <c r="AL46" s="66">
        <f t="shared" si="18"/>
        <v>105567</v>
      </c>
      <c r="AM46" s="19">
        <f t="shared" si="32"/>
        <v>0</v>
      </c>
      <c r="AN46" s="19">
        <f t="shared" si="33"/>
        <v>0</v>
      </c>
      <c r="AO46" s="19">
        <f t="shared" si="34"/>
        <v>660</v>
      </c>
      <c r="AP46" s="19"/>
      <c r="AQ46" s="19">
        <f t="shared" si="19"/>
        <v>106227</v>
      </c>
      <c r="AR46" s="19">
        <f t="shared" si="40"/>
        <v>57447</v>
      </c>
      <c r="AS46" s="19">
        <f t="shared" si="41"/>
        <v>6101</v>
      </c>
      <c r="AT46" s="19">
        <f t="shared" si="22"/>
        <v>20805</v>
      </c>
      <c r="AU46" s="19">
        <f t="shared" si="35"/>
        <v>63875</v>
      </c>
      <c r="AV46" s="19">
        <f t="shared" si="36"/>
        <v>64152</v>
      </c>
      <c r="AW46" s="19">
        <f t="shared" si="37"/>
        <v>5268</v>
      </c>
      <c r="AX46" s="19">
        <f t="shared" si="38"/>
        <v>1583574</v>
      </c>
      <c r="AY46" s="19">
        <v>1314674</v>
      </c>
      <c r="AZ46" s="19">
        <f t="shared" si="39"/>
        <v>268900</v>
      </c>
      <c r="BB46" s="19">
        <v>57447</v>
      </c>
      <c r="BC46" s="19">
        <v>6101</v>
      </c>
      <c r="BD46" s="2"/>
      <c r="BE46" s="94">
        <v>85</v>
      </c>
      <c r="BF46" s="94">
        <v>1.0840000000000001</v>
      </c>
    </row>
    <row r="47" spans="1:58" ht="14.4" x14ac:dyDescent="0.25">
      <c r="A47" s="28" t="s">
        <v>35</v>
      </c>
      <c r="B47" s="29" t="s">
        <v>304</v>
      </c>
      <c r="C47" s="66">
        <v>1043</v>
      </c>
      <c r="D47" s="66">
        <v>0</v>
      </c>
      <c r="E47" s="66">
        <v>114</v>
      </c>
      <c r="F47" s="66">
        <v>0</v>
      </c>
      <c r="G47" s="66">
        <v>34</v>
      </c>
      <c r="H47" s="66">
        <v>0</v>
      </c>
      <c r="I47" s="66">
        <v>0</v>
      </c>
      <c r="J47" s="66">
        <v>0</v>
      </c>
      <c r="K47" s="66">
        <v>4</v>
      </c>
      <c r="L47" s="29"/>
      <c r="M47" s="66">
        <v>0</v>
      </c>
      <c r="N47" s="29"/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f t="shared" si="17"/>
        <v>1195</v>
      </c>
      <c r="V47" s="66">
        <v>0</v>
      </c>
      <c r="W47" s="66">
        <v>0</v>
      </c>
      <c r="X47" s="66">
        <v>0</v>
      </c>
      <c r="Y47" s="69">
        <f t="shared" si="23"/>
        <v>0</v>
      </c>
      <c r="Z47" s="66">
        <v>2615</v>
      </c>
      <c r="AA47" s="66">
        <f t="shared" si="24"/>
        <v>3260</v>
      </c>
      <c r="AB47" s="69">
        <v>1.353</v>
      </c>
      <c r="AC47" s="66">
        <f t="shared" si="25"/>
        <v>3093304</v>
      </c>
      <c r="AD47" s="92">
        <f t="shared" si="26"/>
        <v>797888</v>
      </c>
      <c r="AE47" s="66">
        <f t="shared" si="27"/>
        <v>4647</v>
      </c>
      <c r="AF47" s="66">
        <f t="shared" si="28"/>
        <v>0</v>
      </c>
      <c r="AG47" s="66"/>
      <c r="AH47" s="66">
        <f t="shared" si="29"/>
        <v>0</v>
      </c>
      <c r="AI47" s="66"/>
      <c r="AJ47" s="19">
        <f t="shared" si="30"/>
        <v>3895839</v>
      </c>
      <c r="AK47" s="29">
        <f t="shared" si="31"/>
        <v>1.1200000000000001</v>
      </c>
      <c r="AL47" s="66">
        <f t="shared" si="18"/>
        <v>0</v>
      </c>
      <c r="AM47" s="19">
        <f t="shared" si="32"/>
        <v>0</v>
      </c>
      <c r="AN47" s="19">
        <f t="shared" si="33"/>
        <v>0</v>
      </c>
      <c r="AO47" s="19">
        <f t="shared" si="34"/>
        <v>0</v>
      </c>
      <c r="AP47" s="19"/>
      <c r="AQ47" s="19">
        <f t="shared" si="19"/>
        <v>0</v>
      </c>
      <c r="AR47" s="19">
        <f t="shared" si="40"/>
        <v>200981</v>
      </c>
      <c r="AS47" s="19">
        <f t="shared" si="41"/>
        <v>25826</v>
      </c>
      <c r="AT47" s="19">
        <f t="shared" si="22"/>
        <v>68115</v>
      </c>
      <c r="AU47" s="19">
        <f t="shared" si="35"/>
        <v>208425</v>
      </c>
      <c r="AV47" s="19">
        <f t="shared" si="36"/>
        <v>297000</v>
      </c>
      <c r="AW47" s="19">
        <f t="shared" si="37"/>
        <v>15522</v>
      </c>
      <c r="AX47" s="19">
        <f t="shared" si="38"/>
        <v>4711708</v>
      </c>
      <c r="AY47" s="19">
        <v>4002082</v>
      </c>
      <c r="AZ47" s="19">
        <f t="shared" si="39"/>
        <v>709626</v>
      </c>
      <c r="BB47" s="19">
        <v>200981</v>
      </c>
      <c r="BC47" s="19">
        <v>25826</v>
      </c>
      <c r="BD47" s="2"/>
      <c r="BE47" s="94">
        <v>86</v>
      </c>
      <c r="BF47" s="94">
        <v>1.083</v>
      </c>
    </row>
    <row r="48" spans="1:58" ht="14.4" x14ac:dyDescent="0.25">
      <c r="A48" s="28" t="s">
        <v>35</v>
      </c>
      <c r="B48" s="29" t="s">
        <v>302</v>
      </c>
      <c r="C48" s="66">
        <v>387</v>
      </c>
      <c r="D48" s="66">
        <v>63</v>
      </c>
      <c r="E48" s="66">
        <v>35</v>
      </c>
      <c r="F48" s="66">
        <v>0</v>
      </c>
      <c r="G48" s="66">
        <v>8</v>
      </c>
      <c r="H48" s="66">
        <v>0</v>
      </c>
      <c r="I48" s="66">
        <v>1</v>
      </c>
      <c r="J48" s="66">
        <v>0</v>
      </c>
      <c r="K48" s="66">
        <v>4</v>
      </c>
      <c r="L48" s="29"/>
      <c r="M48" s="66">
        <v>0</v>
      </c>
      <c r="N48" s="29"/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f t="shared" si="17"/>
        <v>498</v>
      </c>
      <c r="V48" s="66">
        <v>0</v>
      </c>
      <c r="W48" s="66">
        <v>0</v>
      </c>
      <c r="X48" s="66">
        <v>0</v>
      </c>
      <c r="Y48" s="69">
        <f t="shared" si="23"/>
        <v>9.4000000000000083E-2</v>
      </c>
      <c r="Z48" s="66">
        <v>2566</v>
      </c>
      <c r="AA48" s="66">
        <f t="shared" si="24"/>
        <v>3257</v>
      </c>
      <c r="AB48" s="69">
        <v>1.4350000000000001</v>
      </c>
      <c r="AC48" s="66">
        <f t="shared" si="25"/>
        <v>1217316</v>
      </c>
      <c r="AD48" s="92">
        <f t="shared" si="26"/>
        <v>223584</v>
      </c>
      <c r="AE48" s="66">
        <f t="shared" si="27"/>
        <v>4647</v>
      </c>
      <c r="AF48" s="66">
        <f t="shared" si="28"/>
        <v>0</v>
      </c>
      <c r="AG48" s="66"/>
      <c r="AH48" s="66">
        <f t="shared" si="29"/>
        <v>0</v>
      </c>
      <c r="AI48" s="66"/>
      <c r="AJ48" s="19">
        <f t="shared" si="30"/>
        <v>1445547</v>
      </c>
      <c r="AK48" s="29">
        <f t="shared" si="31"/>
        <v>1.1200000000000001</v>
      </c>
      <c r="AL48" s="66">
        <f t="shared" si="18"/>
        <v>154668</v>
      </c>
      <c r="AM48" s="19">
        <f t="shared" si="32"/>
        <v>8768</v>
      </c>
      <c r="AN48" s="19">
        <f t="shared" si="33"/>
        <v>0</v>
      </c>
      <c r="AO48" s="19">
        <f t="shared" si="34"/>
        <v>12981</v>
      </c>
      <c r="AP48" s="19"/>
      <c r="AQ48" s="19">
        <f t="shared" si="19"/>
        <v>176417</v>
      </c>
      <c r="AR48" s="19">
        <f t="shared" si="40"/>
        <v>77137</v>
      </c>
      <c r="AS48" s="19">
        <f t="shared" si="41"/>
        <v>9145</v>
      </c>
      <c r="AT48" s="19">
        <f t="shared" si="22"/>
        <v>28386</v>
      </c>
      <c r="AU48" s="19">
        <f t="shared" si="35"/>
        <v>86450</v>
      </c>
      <c r="AV48" s="19">
        <f t="shared" si="36"/>
        <v>84348</v>
      </c>
      <c r="AW48" s="19">
        <f t="shared" si="37"/>
        <v>5979</v>
      </c>
      <c r="AX48" s="19">
        <f t="shared" si="38"/>
        <v>1913409</v>
      </c>
      <c r="AY48" s="19">
        <v>1558802</v>
      </c>
      <c r="AZ48" s="19">
        <f t="shared" si="39"/>
        <v>354607</v>
      </c>
      <c r="BB48" s="19">
        <v>77137</v>
      </c>
      <c r="BC48" s="19">
        <v>9145</v>
      </c>
      <c r="BD48" s="2"/>
      <c r="BE48" s="94">
        <v>87</v>
      </c>
      <c r="BF48" s="94">
        <v>1.083</v>
      </c>
    </row>
    <row r="49" spans="1:58" ht="14.4" x14ac:dyDescent="0.25">
      <c r="A49" s="28" t="s">
        <v>28</v>
      </c>
      <c r="B49" s="29" t="s">
        <v>283</v>
      </c>
      <c r="C49" s="66">
        <v>434</v>
      </c>
      <c r="D49" s="66">
        <v>33</v>
      </c>
      <c r="E49" s="66">
        <v>12</v>
      </c>
      <c r="F49" s="66">
        <v>0</v>
      </c>
      <c r="G49" s="66">
        <v>4</v>
      </c>
      <c r="H49" s="66">
        <v>0</v>
      </c>
      <c r="I49" s="66">
        <v>0</v>
      </c>
      <c r="J49" s="66">
        <v>0</v>
      </c>
      <c r="K49" s="66">
        <v>0</v>
      </c>
      <c r="L49" s="29"/>
      <c r="M49" s="66">
        <v>0</v>
      </c>
      <c r="N49" s="29"/>
      <c r="O49" s="66">
        <v>0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f t="shared" si="17"/>
        <v>483</v>
      </c>
      <c r="V49" s="66">
        <v>0</v>
      </c>
      <c r="W49" s="66">
        <v>0</v>
      </c>
      <c r="X49" s="66">
        <v>0</v>
      </c>
      <c r="Y49" s="69">
        <f t="shared" si="23"/>
        <v>0</v>
      </c>
      <c r="Z49" s="66">
        <v>2738</v>
      </c>
      <c r="AA49" s="66">
        <f t="shared" si="24"/>
        <v>3390</v>
      </c>
      <c r="AB49" s="69">
        <v>1.544</v>
      </c>
      <c r="AC49" s="66">
        <f t="shared" si="25"/>
        <v>1468850</v>
      </c>
      <c r="AD49" s="92">
        <f t="shared" si="26"/>
        <v>87680</v>
      </c>
      <c r="AE49" s="66">
        <f t="shared" si="27"/>
        <v>0</v>
      </c>
      <c r="AF49" s="66">
        <f t="shared" si="28"/>
        <v>0</v>
      </c>
      <c r="AG49" s="66"/>
      <c r="AH49" s="66">
        <f t="shared" si="29"/>
        <v>0</v>
      </c>
      <c r="AI49" s="66"/>
      <c r="AJ49" s="19">
        <f t="shared" si="30"/>
        <v>1556530</v>
      </c>
      <c r="AK49" s="29">
        <f t="shared" si="31"/>
        <v>1.1200000000000001</v>
      </c>
      <c r="AL49" s="66">
        <f t="shared" si="18"/>
        <v>81016</v>
      </c>
      <c r="AM49" s="19">
        <f t="shared" si="32"/>
        <v>0</v>
      </c>
      <c r="AN49" s="19">
        <f t="shared" si="33"/>
        <v>0</v>
      </c>
      <c r="AO49" s="19">
        <f t="shared" si="34"/>
        <v>0</v>
      </c>
      <c r="AP49" s="19"/>
      <c r="AQ49" s="19">
        <f t="shared" si="19"/>
        <v>81016</v>
      </c>
      <c r="AR49" s="19">
        <f t="shared" si="40"/>
        <v>62599</v>
      </c>
      <c r="AS49" s="19">
        <f t="shared" si="41"/>
        <v>6786</v>
      </c>
      <c r="AT49" s="19">
        <f t="shared" si="22"/>
        <v>27531</v>
      </c>
      <c r="AU49" s="19">
        <f t="shared" si="35"/>
        <v>84525</v>
      </c>
      <c r="AV49" s="19">
        <f t="shared" si="36"/>
        <v>33264</v>
      </c>
      <c r="AW49" s="19">
        <f t="shared" si="37"/>
        <v>6670</v>
      </c>
      <c r="AX49" s="19">
        <f t="shared" si="38"/>
        <v>1858921</v>
      </c>
      <c r="AY49" s="19">
        <v>1443641</v>
      </c>
      <c r="AZ49" s="19">
        <f t="shared" si="39"/>
        <v>415280</v>
      </c>
      <c r="BB49" s="19">
        <v>62599</v>
      </c>
      <c r="BC49" s="19">
        <v>6786</v>
      </c>
      <c r="BD49" s="2"/>
      <c r="BE49" s="94">
        <v>88</v>
      </c>
      <c r="BF49" s="94">
        <v>1.0820000000000001</v>
      </c>
    </row>
    <row r="50" spans="1:58" ht="14.4" x14ac:dyDescent="0.25">
      <c r="A50" s="28" t="s">
        <v>28</v>
      </c>
      <c r="B50" s="29" t="s">
        <v>281</v>
      </c>
      <c r="C50" s="66">
        <v>40</v>
      </c>
      <c r="D50" s="66">
        <v>0</v>
      </c>
      <c r="E50" s="66">
        <v>1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29"/>
      <c r="M50" s="66">
        <v>0</v>
      </c>
      <c r="N50" s="29"/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f t="shared" si="17"/>
        <v>41</v>
      </c>
      <c r="V50" s="66">
        <v>0</v>
      </c>
      <c r="W50" s="66">
        <v>0</v>
      </c>
      <c r="X50" s="66">
        <v>0</v>
      </c>
      <c r="Y50" s="69">
        <f t="shared" si="23"/>
        <v>0</v>
      </c>
      <c r="Z50" s="66">
        <v>4604</v>
      </c>
      <c r="AA50" s="66">
        <f t="shared" si="24"/>
        <v>5213</v>
      </c>
      <c r="AB50" s="69">
        <v>2.0099999999999998</v>
      </c>
      <c r="AC50" s="66">
        <f t="shared" si="25"/>
        <v>176237</v>
      </c>
      <c r="AD50" s="92">
        <f t="shared" si="26"/>
        <v>4384</v>
      </c>
      <c r="AE50" s="66">
        <f t="shared" si="27"/>
        <v>0</v>
      </c>
      <c r="AF50" s="66">
        <f t="shared" si="28"/>
        <v>0</v>
      </c>
      <c r="AG50" s="95">
        <f>ROUND(MAX(SUM(AC50:AF50),C$95*6.5)-SUM(AC50:AF50),0)</f>
        <v>33119</v>
      </c>
      <c r="AH50" s="66">
        <f t="shared" si="29"/>
        <v>0</v>
      </c>
      <c r="AI50" s="66"/>
      <c r="AJ50" s="19">
        <f t="shared" si="30"/>
        <v>213740</v>
      </c>
      <c r="AK50" s="29">
        <f t="shared" si="31"/>
        <v>1.1200000000000001</v>
      </c>
      <c r="AL50" s="66">
        <f t="shared" si="18"/>
        <v>0</v>
      </c>
      <c r="AM50" s="19">
        <f t="shared" si="32"/>
        <v>0</v>
      </c>
      <c r="AN50" s="19">
        <f t="shared" si="33"/>
        <v>0</v>
      </c>
      <c r="AO50" s="19">
        <f t="shared" si="34"/>
        <v>0</v>
      </c>
      <c r="AP50" s="19"/>
      <c r="AQ50" s="19">
        <f t="shared" si="19"/>
        <v>0</v>
      </c>
      <c r="AR50" s="19">
        <f t="shared" si="40"/>
        <v>7063</v>
      </c>
      <c r="AS50" s="19">
        <f t="shared" si="41"/>
        <v>1309</v>
      </c>
      <c r="AT50" s="19">
        <f t="shared" si="22"/>
        <v>2337</v>
      </c>
      <c r="AU50" s="19">
        <f t="shared" si="35"/>
        <v>7175</v>
      </c>
      <c r="AV50" s="19">
        <f t="shared" si="36"/>
        <v>1188</v>
      </c>
      <c r="AW50" s="19">
        <f t="shared" si="37"/>
        <v>791</v>
      </c>
      <c r="AX50" s="19">
        <f t="shared" si="38"/>
        <v>233603</v>
      </c>
      <c r="AY50" s="19">
        <v>203495</v>
      </c>
      <c r="AZ50" s="19">
        <f t="shared" si="39"/>
        <v>30108</v>
      </c>
      <c r="BB50" s="19">
        <v>7063</v>
      </c>
      <c r="BC50" s="19">
        <v>1309</v>
      </c>
      <c r="BD50" s="2"/>
      <c r="BE50" s="94">
        <v>89</v>
      </c>
      <c r="BF50" s="94">
        <v>1.0820000000000001</v>
      </c>
    </row>
    <row r="51" spans="1:58" ht="14.4" x14ac:dyDescent="0.25">
      <c r="A51" s="28" t="s">
        <v>28</v>
      </c>
      <c r="B51" s="29" t="s">
        <v>595</v>
      </c>
      <c r="C51" s="66">
        <v>383</v>
      </c>
      <c r="D51" s="66">
        <v>48</v>
      </c>
      <c r="E51" s="66">
        <v>24</v>
      </c>
      <c r="F51" s="66">
        <v>0</v>
      </c>
      <c r="G51" s="66">
        <v>3</v>
      </c>
      <c r="H51" s="66">
        <v>0</v>
      </c>
      <c r="I51" s="66">
        <v>0</v>
      </c>
      <c r="J51" s="66">
        <v>0</v>
      </c>
      <c r="K51" s="66">
        <v>1</v>
      </c>
      <c r="L51" s="29"/>
      <c r="M51" s="66">
        <v>0</v>
      </c>
      <c r="N51" s="29"/>
      <c r="O51" s="66">
        <v>0</v>
      </c>
      <c r="P51" s="66">
        <v>0</v>
      </c>
      <c r="Q51" s="66">
        <v>9</v>
      </c>
      <c r="R51" s="66">
        <v>1</v>
      </c>
      <c r="S51" s="66">
        <v>0</v>
      </c>
      <c r="T51" s="66">
        <v>0</v>
      </c>
      <c r="U51" s="66">
        <f t="shared" si="17"/>
        <v>469</v>
      </c>
      <c r="V51" s="66">
        <v>0</v>
      </c>
      <c r="W51" s="66">
        <v>0</v>
      </c>
      <c r="X51" s="66">
        <v>0</v>
      </c>
      <c r="Y51" s="69">
        <f t="shared" si="23"/>
        <v>6.899999999999995E-2</v>
      </c>
      <c r="Z51" s="66">
        <v>3088</v>
      </c>
      <c r="AA51" s="66">
        <f t="shared" si="24"/>
        <v>3765</v>
      </c>
      <c r="AB51" s="69">
        <v>1.7749999999999999</v>
      </c>
      <c r="AC51" s="66">
        <f t="shared" si="25"/>
        <v>1490176</v>
      </c>
      <c r="AD51" s="92">
        <f t="shared" si="26"/>
        <v>131520</v>
      </c>
      <c r="AE51" s="66">
        <f t="shared" si="27"/>
        <v>1162</v>
      </c>
      <c r="AF51" s="66">
        <f t="shared" si="28"/>
        <v>0</v>
      </c>
      <c r="AG51" s="66"/>
      <c r="AH51" s="66">
        <f t="shared" si="29"/>
        <v>0</v>
      </c>
      <c r="AI51" s="66"/>
      <c r="AJ51" s="19">
        <f t="shared" si="30"/>
        <v>1622858</v>
      </c>
      <c r="AK51" s="29">
        <f t="shared" si="31"/>
        <v>1.1200000000000001</v>
      </c>
      <c r="AL51" s="66">
        <f t="shared" si="18"/>
        <v>117842</v>
      </c>
      <c r="AM51" s="19">
        <f t="shared" si="32"/>
        <v>0</v>
      </c>
      <c r="AN51" s="19">
        <f t="shared" si="33"/>
        <v>17689</v>
      </c>
      <c r="AO51" s="19">
        <f t="shared" si="34"/>
        <v>7260</v>
      </c>
      <c r="AP51" s="19"/>
      <c r="AQ51" s="19">
        <f t="shared" si="19"/>
        <v>142791</v>
      </c>
      <c r="AR51" s="19">
        <f t="shared" si="40"/>
        <v>79963</v>
      </c>
      <c r="AS51" s="19">
        <f t="shared" si="41"/>
        <v>9571</v>
      </c>
      <c r="AT51" s="19">
        <f t="shared" si="22"/>
        <v>26687</v>
      </c>
      <c r="AU51" s="19">
        <f t="shared" si="35"/>
        <v>80150</v>
      </c>
      <c r="AV51" s="19">
        <f t="shared" si="36"/>
        <v>42768</v>
      </c>
      <c r="AW51" s="19">
        <f t="shared" si="37"/>
        <v>7004</v>
      </c>
      <c r="AX51" s="19">
        <f t="shared" si="38"/>
        <v>2011792</v>
      </c>
      <c r="AY51" s="19">
        <v>1618112</v>
      </c>
      <c r="AZ51" s="19">
        <f t="shared" si="39"/>
        <v>393680</v>
      </c>
      <c r="BB51" s="19">
        <v>79963</v>
      </c>
      <c r="BC51" s="19">
        <v>9571</v>
      </c>
      <c r="BD51" s="2"/>
      <c r="BE51" s="94">
        <v>90</v>
      </c>
      <c r="BF51" s="94">
        <v>1.081</v>
      </c>
    </row>
    <row r="52" spans="1:58" ht="14.4" x14ac:dyDescent="0.25">
      <c r="A52" s="28" t="s">
        <v>28</v>
      </c>
      <c r="B52" s="29" t="s">
        <v>596</v>
      </c>
      <c r="C52" s="66">
        <v>655</v>
      </c>
      <c r="D52" s="66">
        <v>50</v>
      </c>
      <c r="E52" s="66">
        <v>33</v>
      </c>
      <c r="F52" s="66">
        <v>0</v>
      </c>
      <c r="G52" s="66">
        <v>12</v>
      </c>
      <c r="H52" s="66">
        <v>0</v>
      </c>
      <c r="I52" s="66">
        <v>0</v>
      </c>
      <c r="J52" s="66">
        <v>0</v>
      </c>
      <c r="K52" s="66">
        <v>5</v>
      </c>
      <c r="L52" s="29"/>
      <c r="M52" s="66">
        <v>0</v>
      </c>
      <c r="N52" s="29"/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f t="shared" si="17"/>
        <v>755</v>
      </c>
      <c r="V52" s="66">
        <v>0</v>
      </c>
      <c r="W52" s="66">
        <v>0</v>
      </c>
      <c r="X52" s="66">
        <v>0</v>
      </c>
      <c r="Y52" s="69">
        <f t="shared" si="23"/>
        <v>9.000000000000008E-2</v>
      </c>
      <c r="Z52" s="66">
        <v>2783</v>
      </c>
      <c r="AA52" s="66">
        <f t="shared" si="24"/>
        <v>3449</v>
      </c>
      <c r="AB52" s="69">
        <v>1.5429999999999999</v>
      </c>
      <c r="AC52" s="66">
        <f t="shared" si="25"/>
        <v>2215378</v>
      </c>
      <c r="AD52" s="92">
        <f t="shared" si="26"/>
        <v>249888</v>
      </c>
      <c r="AE52" s="66">
        <f t="shared" si="27"/>
        <v>5809</v>
      </c>
      <c r="AF52" s="66">
        <f t="shared" si="28"/>
        <v>0</v>
      </c>
      <c r="AG52" s="66"/>
      <c r="AH52" s="66">
        <f t="shared" si="29"/>
        <v>0</v>
      </c>
      <c r="AI52" s="66"/>
      <c r="AJ52" s="19">
        <f t="shared" si="30"/>
        <v>2471075</v>
      </c>
      <c r="AK52" s="29">
        <f t="shared" si="31"/>
        <v>1.1200000000000001</v>
      </c>
      <c r="AL52" s="66">
        <f t="shared" si="18"/>
        <v>122752</v>
      </c>
      <c r="AM52" s="19">
        <f t="shared" si="32"/>
        <v>0</v>
      </c>
      <c r="AN52" s="19">
        <f t="shared" si="33"/>
        <v>0</v>
      </c>
      <c r="AO52" s="19">
        <f t="shared" si="34"/>
        <v>9864</v>
      </c>
      <c r="AP52" s="19"/>
      <c r="AQ52" s="19">
        <f t="shared" si="19"/>
        <v>132616</v>
      </c>
      <c r="AR52" s="19">
        <f t="shared" si="40"/>
        <v>109776</v>
      </c>
      <c r="AS52" s="19">
        <f t="shared" si="41"/>
        <v>13877</v>
      </c>
      <c r="AT52" s="19">
        <f t="shared" si="22"/>
        <v>43035</v>
      </c>
      <c r="AU52" s="19">
        <f t="shared" si="35"/>
        <v>131250</v>
      </c>
      <c r="AV52" s="19">
        <f t="shared" si="36"/>
        <v>96228</v>
      </c>
      <c r="AW52" s="19">
        <f t="shared" si="37"/>
        <v>10444</v>
      </c>
      <c r="AX52" s="19">
        <f t="shared" si="38"/>
        <v>3008301</v>
      </c>
      <c r="AY52" s="19">
        <v>2460680</v>
      </c>
      <c r="AZ52" s="19">
        <f t="shared" si="39"/>
        <v>547621</v>
      </c>
      <c r="BB52" s="19">
        <v>109776</v>
      </c>
      <c r="BC52" s="19">
        <v>13877</v>
      </c>
      <c r="BD52" s="2"/>
      <c r="BE52" s="94">
        <v>91</v>
      </c>
      <c r="BF52" s="94">
        <v>1.081</v>
      </c>
    </row>
    <row r="53" spans="1:58" ht="14.4" x14ac:dyDescent="0.25">
      <c r="A53" s="28" t="s">
        <v>28</v>
      </c>
      <c r="B53" s="29" t="s">
        <v>30</v>
      </c>
      <c r="C53" s="66">
        <v>4969</v>
      </c>
      <c r="D53" s="66">
        <v>380</v>
      </c>
      <c r="E53" s="66">
        <v>335</v>
      </c>
      <c r="F53" s="66">
        <v>0</v>
      </c>
      <c r="G53" s="66">
        <v>188</v>
      </c>
      <c r="H53" s="66">
        <v>10</v>
      </c>
      <c r="I53" s="66">
        <v>1</v>
      </c>
      <c r="J53" s="66">
        <v>0</v>
      </c>
      <c r="K53" s="66">
        <v>7</v>
      </c>
      <c r="L53" s="29"/>
      <c r="M53" s="66">
        <v>0</v>
      </c>
      <c r="N53" s="29"/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f t="shared" si="17"/>
        <v>5890</v>
      </c>
      <c r="V53" s="66">
        <v>0</v>
      </c>
      <c r="W53" s="66">
        <v>0</v>
      </c>
      <c r="X53" s="66">
        <v>0</v>
      </c>
      <c r="Y53" s="69">
        <f t="shared" si="23"/>
        <v>0</v>
      </c>
      <c r="Z53" s="66">
        <v>2140</v>
      </c>
      <c r="AA53" s="66">
        <f t="shared" si="24"/>
        <v>2732</v>
      </c>
      <c r="AB53" s="69">
        <v>1.0960000000000001</v>
      </c>
      <c r="AC53" s="66">
        <f t="shared" si="25"/>
        <v>11937685</v>
      </c>
      <c r="AD53" s="92">
        <f t="shared" si="26"/>
        <v>3204704</v>
      </c>
      <c r="AE53" s="66">
        <f t="shared" si="27"/>
        <v>8132</v>
      </c>
      <c r="AF53" s="66">
        <f t="shared" si="28"/>
        <v>0</v>
      </c>
      <c r="AG53" s="66"/>
      <c r="AH53" s="66">
        <f t="shared" si="29"/>
        <v>0</v>
      </c>
      <c r="AI53" s="66"/>
      <c r="AJ53" s="19">
        <f t="shared" si="30"/>
        <v>15150521</v>
      </c>
      <c r="AK53" s="29">
        <f t="shared" si="31"/>
        <v>1.1200000000000001</v>
      </c>
      <c r="AL53" s="66">
        <f t="shared" si="18"/>
        <v>932915</v>
      </c>
      <c r="AM53" s="19">
        <f t="shared" si="32"/>
        <v>8768</v>
      </c>
      <c r="AN53" s="19">
        <f t="shared" si="33"/>
        <v>0</v>
      </c>
      <c r="AO53" s="19">
        <f t="shared" si="34"/>
        <v>0</v>
      </c>
      <c r="AP53" s="19"/>
      <c r="AQ53" s="19">
        <f t="shared" si="19"/>
        <v>941683</v>
      </c>
      <c r="AR53" s="19">
        <f t="shared" si="40"/>
        <v>604198</v>
      </c>
      <c r="AS53" s="19">
        <f t="shared" si="41"/>
        <v>84390</v>
      </c>
      <c r="AT53" s="19">
        <f t="shared" si="22"/>
        <v>335730</v>
      </c>
      <c r="AU53" s="19">
        <f t="shared" si="35"/>
        <v>1027775</v>
      </c>
      <c r="AV53" s="19">
        <f t="shared" si="36"/>
        <v>1343628</v>
      </c>
      <c r="AW53" s="19">
        <f t="shared" si="37"/>
        <v>57966</v>
      </c>
      <c r="AX53" s="19">
        <f t="shared" si="38"/>
        <v>19545891</v>
      </c>
      <c r="AY53" s="19">
        <v>16529050</v>
      </c>
      <c r="AZ53" s="19">
        <f t="shared" si="39"/>
        <v>3016841</v>
      </c>
      <c r="BB53" s="19">
        <v>604198</v>
      </c>
      <c r="BC53" s="19">
        <v>84390</v>
      </c>
      <c r="BD53" s="2"/>
      <c r="BE53" s="94">
        <v>92</v>
      </c>
      <c r="BF53" s="94">
        <v>1.08</v>
      </c>
    </row>
    <row r="54" spans="1:58" ht="14.4" x14ac:dyDescent="0.25">
      <c r="A54" s="28" t="s">
        <v>28</v>
      </c>
      <c r="B54" s="29" t="s">
        <v>275</v>
      </c>
      <c r="C54" s="66">
        <v>340</v>
      </c>
      <c r="D54" s="66">
        <v>62</v>
      </c>
      <c r="E54" s="66">
        <v>16</v>
      </c>
      <c r="F54" s="66">
        <v>0</v>
      </c>
      <c r="G54" s="66">
        <v>2</v>
      </c>
      <c r="H54" s="66">
        <v>2</v>
      </c>
      <c r="I54" s="66">
        <v>0</v>
      </c>
      <c r="J54" s="66">
        <v>0</v>
      </c>
      <c r="K54" s="66">
        <v>0</v>
      </c>
      <c r="L54" s="29"/>
      <c r="M54" s="66">
        <v>0</v>
      </c>
      <c r="N54" s="29"/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f t="shared" si="17"/>
        <v>422</v>
      </c>
      <c r="V54" s="66">
        <v>0</v>
      </c>
      <c r="W54" s="66">
        <v>0</v>
      </c>
      <c r="X54" s="66">
        <v>0</v>
      </c>
      <c r="Y54" s="69">
        <f t="shared" si="23"/>
        <v>9.4999999999999973E-2</v>
      </c>
      <c r="Z54" s="66">
        <v>2596</v>
      </c>
      <c r="AA54" s="66">
        <f t="shared" si="24"/>
        <v>3256</v>
      </c>
      <c r="AB54" s="69">
        <v>1.4810000000000001</v>
      </c>
      <c r="AC54" s="66">
        <f t="shared" si="25"/>
        <v>1103760</v>
      </c>
      <c r="AD54" s="92">
        <f t="shared" si="26"/>
        <v>105216</v>
      </c>
      <c r="AE54" s="66">
        <f t="shared" si="27"/>
        <v>0</v>
      </c>
      <c r="AF54" s="66">
        <f t="shared" si="28"/>
        <v>0</v>
      </c>
      <c r="AG54" s="66"/>
      <c r="AH54" s="66">
        <f t="shared" si="29"/>
        <v>0</v>
      </c>
      <c r="AI54" s="66"/>
      <c r="AJ54" s="19">
        <f t="shared" si="30"/>
        <v>1208976</v>
      </c>
      <c r="AK54" s="29">
        <f t="shared" si="31"/>
        <v>1.1200000000000001</v>
      </c>
      <c r="AL54" s="66">
        <f t="shared" si="18"/>
        <v>152212</v>
      </c>
      <c r="AM54" s="19">
        <f t="shared" si="32"/>
        <v>0</v>
      </c>
      <c r="AN54" s="19">
        <f t="shared" si="33"/>
        <v>0</v>
      </c>
      <c r="AO54" s="19">
        <f t="shared" si="34"/>
        <v>12911</v>
      </c>
      <c r="AP54" s="19"/>
      <c r="AQ54" s="19">
        <f t="shared" si="19"/>
        <v>165123</v>
      </c>
      <c r="AR54" s="19">
        <f t="shared" si="40"/>
        <v>58450</v>
      </c>
      <c r="AS54" s="19">
        <f t="shared" si="41"/>
        <v>7428</v>
      </c>
      <c r="AT54" s="19">
        <f t="shared" si="22"/>
        <v>24054</v>
      </c>
      <c r="AU54" s="19">
        <f t="shared" si="35"/>
        <v>73500</v>
      </c>
      <c r="AV54" s="19">
        <f t="shared" si="36"/>
        <v>38016</v>
      </c>
      <c r="AW54" s="19">
        <f t="shared" si="37"/>
        <v>5119</v>
      </c>
      <c r="AX54" s="19">
        <f t="shared" si="38"/>
        <v>1580666</v>
      </c>
      <c r="AY54" s="19">
        <v>1209125</v>
      </c>
      <c r="AZ54" s="19">
        <f t="shared" si="39"/>
        <v>371541</v>
      </c>
      <c r="BB54" s="19">
        <v>58450</v>
      </c>
      <c r="BC54" s="19">
        <v>7428</v>
      </c>
      <c r="BD54" s="2"/>
      <c r="BE54" s="94">
        <v>93</v>
      </c>
      <c r="BF54" s="94">
        <v>1.08</v>
      </c>
    </row>
    <row r="55" spans="1:58" ht="14.4" x14ac:dyDescent="0.25">
      <c r="A55" s="28" t="s">
        <v>28</v>
      </c>
      <c r="B55" s="29" t="s">
        <v>265</v>
      </c>
      <c r="C55" s="66">
        <v>905</v>
      </c>
      <c r="D55" s="66">
        <v>66</v>
      </c>
      <c r="E55" s="66">
        <v>39</v>
      </c>
      <c r="F55" s="66">
        <v>0</v>
      </c>
      <c r="G55" s="66">
        <v>19</v>
      </c>
      <c r="H55" s="66">
        <v>2</v>
      </c>
      <c r="I55" s="66">
        <v>0</v>
      </c>
      <c r="J55" s="66">
        <v>0</v>
      </c>
      <c r="K55" s="66">
        <v>0</v>
      </c>
      <c r="L55" s="29"/>
      <c r="M55" s="66">
        <v>0</v>
      </c>
      <c r="N55" s="29"/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f t="shared" si="17"/>
        <v>1031</v>
      </c>
      <c r="V55" s="66">
        <v>0</v>
      </c>
      <c r="W55" s="66">
        <v>0</v>
      </c>
      <c r="X55" s="66">
        <v>0</v>
      </c>
      <c r="Y55" s="69">
        <f t="shared" si="23"/>
        <v>9.2999999999999972E-2</v>
      </c>
      <c r="Z55" s="66">
        <v>2883</v>
      </c>
      <c r="AA55" s="66">
        <f t="shared" si="24"/>
        <v>3568</v>
      </c>
      <c r="AB55" s="69">
        <v>1.587</v>
      </c>
      <c r="AC55" s="66">
        <f t="shared" si="25"/>
        <v>3148227</v>
      </c>
      <c r="AD55" s="92">
        <f t="shared" si="26"/>
        <v>355104</v>
      </c>
      <c r="AE55" s="66">
        <f t="shared" si="27"/>
        <v>0</v>
      </c>
      <c r="AF55" s="66">
        <f t="shared" si="28"/>
        <v>0</v>
      </c>
      <c r="AG55" s="66"/>
      <c r="AH55" s="66">
        <f t="shared" si="29"/>
        <v>0</v>
      </c>
      <c r="AI55" s="66"/>
      <c r="AJ55" s="19">
        <f t="shared" si="30"/>
        <v>3503331</v>
      </c>
      <c r="AK55" s="29">
        <f t="shared" si="31"/>
        <v>1.1200000000000001</v>
      </c>
      <c r="AL55" s="66">
        <f t="shared" si="18"/>
        <v>162033</v>
      </c>
      <c r="AM55" s="19">
        <f t="shared" si="32"/>
        <v>0</v>
      </c>
      <c r="AN55" s="19">
        <f t="shared" si="33"/>
        <v>0</v>
      </c>
      <c r="AO55" s="19">
        <f t="shared" si="34"/>
        <v>13454</v>
      </c>
      <c r="AP55" s="19"/>
      <c r="AQ55" s="19">
        <f t="shared" si="19"/>
        <v>175487</v>
      </c>
      <c r="AR55" s="19">
        <f t="shared" si="40"/>
        <v>101652</v>
      </c>
      <c r="AS55" s="19">
        <f t="shared" si="41"/>
        <v>12797</v>
      </c>
      <c r="AT55" s="19">
        <f t="shared" si="22"/>
        <v>58767</v>
      </c>
      <c r="AU55" s="19">
        <f t="shared" si="35"/>
        <v>180075</v>
      </c>
      <c r="AV55" s="19">
        <f t="shared" si="36"/>
        <v>146124</v>
      </c>
      <c r="AW55" s="19">
        <f t="shared" si="37"/>
        <v>14703</v>
      </c>
      <c r="AX55" s="19">
        <f t="shared" si="38"/>
        <v>4192936</v>
      </c>
      <c r="AY55" s="19">
        <v>3253180</v>
      </c>
      <c r="AZ55" s="19">
        <f t="shared" si="39"/>
        <v>939756</v>
      </c>
      <c r="BB55" s="19">
        <v>101652</v>
      </c>
      <c r="BC55" s="19">
        <v>12797</v>
      </c>
      <c r="BD55" s="2"/>
      <c r="BE55" s="94">
        <v>94</v>
      </c>
      <c r="BF55" s="94">
        <v>1.079</v>
      </c>
    </row>
    <row r="56" spans="1:58" ht="14.4" x14ac:dyDescent="0.25">
      <c r="A56" s="28" t="s">
        <v>24</v>
      </c>
      <c r="B56" s="29" t="s">
        <v>249</v>
      </c>
      <c r="C56" s="66">
        <v>436</v>
      </c>
      <c r="D56" s="66">
        <v>0</v>
      </c>
      <c r="E56" s="66">
        <v>32</v>
      </c>
      <c r="F56" s="66">
        <v>0</v>
      </c>
      <c r="G56" s="66">
        <v>19</v>
      </c>
      <c r="H56" s="66">
        <v>0</v>
      </c>
      <c r="I56" s="66">
        <v>0</v>
      </c>
      <c r="J56" s="66">
        <v>0</v>
      </c>
      <c r="K56" s="66">
        <v>0</v>
      </c>
      <c r="L56" s="29"/>
      <c r="M56" s="66">
        <v>0</v>
      </c>
      <c r="N56" s="29"/>
      <c r="O56" s="66">
        <v>0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f t="shared" si="17"/>
        <v>487</v>
      </c>
      <c r="V56" s="66">
        <v>0</v>
      </c>
      <c r="W56" s="66">
        <v>0</v>
      </c>
      <c r="X56" s="66">
        <v>0</v>
      </c>
      <c r="Y56" s="69">
        <f t="shared" si="23"/>
        <v>0</v>
      </c>
      <c r="Z56" s="66">
        <v>2980</v>
      </c>
      <c r="AA56" s="66">
        <f t="shared" si="24"/>
        <v>3735</v>
      </c>
      <c r="AB56" s="69">
        <v>1.5820000000000001</v>
      </c>
      <c r="AC56" s="66">
        <f t="shared" si="25"/>
        <v>1511936</v>
      </c>
      <c r="AD56" s="92">
        <f t="shared" si="26"/>
        <v>306880</v>
      </c>
      <c r="AE56" s="66">
        <f t="shared" si="27"/>
        <v>0</v>
      </c>
      <c r="AF56" s="66">
        <f t="shared" si="28"/>
        <v>0</v>
      </c>
      <c r="AG56" s="66"/>
      <c r="AH56" s="66">
        <f t="shared" si="29"/>
        <v>0</v>
      </c>
      <c r="AI56" s="66"/>
      <c r="AJ56" s="19">
        <f t="shared" si="30"/>
        <v>1818816</v>
      </c>
      <c r="AK56" s="29">
        <f t="shared" si="31"/>
        <v>1.1200000000000001</v>
      </c>
      <c r="AL56" s="66">
        <f t="shared" si="18"/>
        <v>0</v>
      </c>
      <c r="AM56" s="19">
        <f t="shared" si="32"/>
        <v>0</v>
      </c>
      <c r="AN56" s="19">
        <f t="shared" si="33"/>
        <v>0</v>
      </c>
      <c r="AO56" s="19">
        <f t="shared" si="34"/>
        <v>0</v>
      </c>
      <c r="AP56" s="19"/>
      <c r="AQ56" s="19">
        <f t="shared" si="19"/>
        <v>0</v>
      </c>
      <c r="AR56" s="19">
        <f t="shared" si="40"/>
        <v>79313</v>
      </c>
      <c r="AS56" s="19">
        <f t="shared" si="41"/>
        <v>8425</v>
      </c>
      <c r="AT56" s="19">
        <f t="shared" si="22"/>
        <v>27759</v>
      </c>
      <c r="AU56" s="19">
        <f t="shared" si="35"/>
        <v>85225</v>
      </c>
      <c r="AV56" s="19">
        <f t="shared" si="36"/>
        <v>128304</v>
      </c>
      <c r="AW56" s="19">
        <f t="shared" si="37"/>
        <v>7397</v>
      </c>
      <c r="AX56" s="19">
        <f t="shared" si="38"/>
        <v>2155239</v>
      </c>
      <c r="AY56" s="19">
        <v>1675002</v>
      </c>
      <c r="AZ56" s="19">
        <f t="shared" si="39"/>
        <v>480237</v>
      </c>
      <c r="BB56" s="19">
        <v>79313</v>
      </c>
      <c r="BC56" s="19">
        <v>8425</v>
      </c>
      <c r="BD56" s="2"/>
      <c r="BE56" s="94">
        <v>95</v>
      </c>
      <c r="BF56" s="94">
        <v>1.079</v>
      </c>
    </row>
    <row r="57" spans="1:58" ht="14.4" x14ac:dyDescent="0.25">
      <c r="A57" s="28" t="s">
        <v>24</v>
      </c>
      <c r="B57" s="29" t="s">
        <v>247</v>
      </c>
      <c r="C57" s="66">
        <v>712</v>
      </c>
      <c r="D57" s="66">
        <v>147</v>
      </c>
      <c r="E57" s="66">
        <v>28</v>
      </c>
      <c r="F57" s="66">
        <v>0</v>
      </c>
      <c r="G57" s="66">
        <v>9</v>
      </c>
      <c r="H57" s="66">
        <v>2</v>
      </c>
      <c r="I57" s="66">
        <v>0</v>
      </c>
      <c r="J57" s="66">
        <v>0</v>
      </c>
      <c r="K57" s="66">
        <v>0</v>
      </c>
      <c r="L57" s="29"/>
      <c r="M57" s="66">
        <v>0</v>
      </c>
      <c r="N57" s="29"/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f t="shared" si="17"/>
        <v>898</v>
      </c>
      <c r="V57" s="66">
        <v>0</v>
      </c>
      <c r="W57" s="66">
        <v>0</v>
      </c>
      <c r="X57" s="66">
        <v>0</v>
      </c>
      <c r="Y57" s="69">
        <f t="shared" si="23"/>
        <v>5.4000000000000048E-2</v>
      </c>
      <c r="Z57" s="66">
        <v>1981</v>
      </c>
      <c r="AA57" s="66">
        <f t="shared" si="24"/>
        <v>2490</v>
      </c>
      <c r="AB57" s="69">
        <v>1.05</v>
      </c>
      <c r="AC57" s="66">
        <f t="shared" si="25"/>
        <v>1638739</v>
      </c>
      <c r="AD57" s="92">
        <f t="shared" si="26"/>
        <v>219200</v>
      </c>
      <c r="AE57" s="66">
        <f t="shared" si="27"/>
        <v>0</v>
      </c>
      <c r="AF57" s="66">
        <f t="shared" si="28"/>
        <v>0</v>
      </c>
      <c r="AG57" s="66"/>
      <c r="AH57" s="66">
        <f t="shared" si="29"/>
        <v>0</v>
      </c>
      <c r="AI57" s="66"/>
      <c r="AJ57" s="19">
        <f t="shared" si="30"/>
        <v>1857939</v>
      </c>
      <c r="AK57" s="29">
        <f t="shared" si="31"/>
        <v>1.1200000000000001</v>
      </c>
      <c r="AL57" s="66">
        <f t="shared" si="18"/>
        <v>360891</v>
      </c>
      <c r="AM57" s="19">
        <f t="shared" si="32"/>
        <v>0</v>
      </c>
      <c r="AN57" s="19">
        <f t="shared" si="33"/>
        <v>0</v>
      </c>
      <c r="AO57" s="19">
        <f t="shared" si="34"/>
        <v>17400</v>
      </c>
      <c r="AP57" s="19"/>
      <c r="AQ57" s="19">
        <f t="shared" si="19"/>
        <v>378291</v>
      </c>
      <c r="AR57" s="19">
        <f t="shared" si="40"/>
        <v>82616</v>
      </c>
      <c r="AS57" s="19">
        <f t="shared" si="41"/>
        <v>10776</v>
      </c>
      <c r="AT57" s="19">
        <f t="shared" si="22"/>
        <v>51186</v>
      </c>
      <c r="AU57" s="19">
        <f t="shared" si="35"/>
        <v>156800</v>
      </c>
      <c r="AV57" s="19">
        <f t="shared" si="36"/>
        <v>85536</v>
      </c>
      <c r="AW57" s="19">
        <f t="shared" si="37"/>
        <v>7570</v>
      </c>
      <c r="AX57" s="19">
        <f t="shared" si="38"/>
        <v>2630714</v>
      </c>
      <c r="AY57" s="19">
        <v>2196616</v>
      </c>
      <c r="AZ57" s="19">
        <f t="shared" si="39"/>
        <v>434098</v>
      </c>
      <c r="BB57" s="19">
        <v>57098</v>
      </c>
      <c r="BC57" s="19">
        <v>8499</v>
      </c>
      <c r="BD57" s="2"/>
      <c r="BE57" s="94">
        <v>96</v>
      </c>
      <c r="BF57" s="94">
        <v>1.0780000000000001</v>
      </c>
    </row>
    <row r="58" spans="1:58" ht="14.4" x14ac:dyDescent="0.25">
      <c r="A58" s="28" t="s">
        <v>24</v>
      </c>
      <c r="B58" s="29" t="s">
        <v>243</v>
      </c>
      <c r="C58" s="66">
        <v>657</v>
      </c>
      <c r="D58" s="66">
        <v>93</v>
      </c>
      <c r="E58" s="66">
        <v>41</v>
      </c>
      <c r="F58" s="66">
        <v>0</v>
      </c>
      <c r="G58" s="66">
        <v>13</v>
      </c>
      <c r="H58" s="66">
        <v>3</v>
      </c>
      <c r="I58" s="66">
        <v>0</v>
      </c>
      <c r="J58" s="66">
        <v>0</v>
      </c>
      <c r="K58" s="66">
        <v>0</v>
      </c>
      <c r="L58" s="29"/>
      <c r="M58" s="66">
        <v>0</v>
      </c>
      <c r="N58" s="29"/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f t="shared" si="17"/>
        <v>807</v>
      </c>
      <c r="V58" s="66">
        <v>0</v>
      </c>
      <c r="W58" s="66">
        <v>0</v>
      </c>
      <c r="X58" s="66">
        <v>0</v>
      </c>
      <c r="Y58" s="69">
        <f t="shared" si="23"/>
        <v>8.0000000000000071E-2</v>
      </c>
      <c r="Z58" s="66">
        <v>2438</v>
      </c>
      <c r="AA58" s="66">
        <f t="shared" si="24"/>
        <v>3023</v>
      </c>
      <c r="AB58" s="69">
        <v>1.302</v>
      </c>
      <c r="AC58" s="66">
        <f t="shared" si="25"/>
        <v>1875067</v>
      </c>
      <c r="AD58" s="92">
        <f t="shared" si="26"/>
        <v>320032</v>
      </c>
      <c r="AE58" s="66">
        <f t="shared" si="27"/>
        <v>0</v>
      </c>
      <c r="AF58" s="66">
        <f t="shared" si="28"/>
        <v>0</v>
      </c>
      <c r="AG58" s="66"/>
      <c r="AH58" s="66">
        <f t="shared" si="29"/>
        <v>0</v>
      </c>
      <c r="AI58" s="66"/>
      <c r="AJ58" s="19">
        <f t="shared" si="30"/>
        <v>2195099</v>
      </c>
      <c r="AK58" s="29">
        <f t="shared" si="31"/>
        <v>1.1200000000000001</v>
      </c>
      <c r="AL58" s="66">
        <f t="shared" si="18"/>
        <v>228319</v>
      </c>
      <c r="AM58" s="19">
        <f t="shared" si="32"/>
        <v>0</v>
      </c>
      <c r="AN58" s="19">
        <f t="shared" si="33"/>
        <v>0</v>
      </c>
      <c r="AO58" s="19">
        <f t="shared" si="34"/>
        <v>16308</v>
      </c>
      <c r="AP58" s="19"/>
      <c r="AQ58" s="19">
        <f t="shared" si="19"/>
        <v>244627</v>
      </c>
      <c r="AR58" s="19">
        <f t="shared" si="40"/>
        <v>85821</v>
      </c>
      <c r="AS58" s="19">
        <f t="shared" si="41"/>
        <v>11810</v>
      </c>
      <c r="AT58" s="19">
        <f t="shared" si="22"/>
        <v>45999</v>
      </c>
      <c r="AU58" s="19">
        <f t="shared" si="35"/>
        <v>140700</v>
      </c>
      <c r="AV58" s="19">
        <f t="shared" si="36"/>
        <v>124740</v>
      </c>
      <c r="AW58" s="19">
        <f t="shared" si="37"/>
        <v>8925</v>
      </c>
      <c r="AX58" s="19">
        <f t="shared" si="38"/>
        <v>2857721</v>
      </c>
      <c r="AY58" s="19">
        <v>2258917</v>
      </c>
      <c r="AZ58" s="19">
        <f t="shared" si="39"/>
        <v>598804</v>
      </c>
      <c r="BB58" s="19">
        <v>85821</v>
      </c>
      <c r="BC58" s="19">
        <v>11810</v>
      </c>
      <c r="BD58" s="2"/>
      <c r="BE58" s="94">
        <v>97</v>
      </c>
      <c r="BF58" s="94">
        <v>1.0780000000000001</v>
      </c>
    </row>
    <row r="59" spans="1:58" ht="14.4" x14ac:dyDescent="0.25">
      <c r="A59" s="28" t="s">
        <v>24</v>
      </c>
      <c r="B59" s="29" t="s">
        <v>239</v>
      </c>
      <c r="C59" s="66">
        <v>1308</v>
      </c>
      <c r="D59" s="66">
        <v>0</v>
      </c>
      <c r="E59" s="66">
        <v>77</v>
      </c>
      <c r="F59" s="66">
        <v>0</v>
      </c>
      <c r="G59" s="66">
        <v>45</v>
      </c>
      <c r="H59" s="66">
        <v>0</v>
      </c>
      <c r="I59" s="66">
        <v>0</v>
      </c>
      <c r="J59" s="66">
        <v>0</v>
      </c>
      <c r="K59" s="66">
        <v>2</v>
      </c>
      <c r="L59" s="29"/>
      <c r="M59" s="66">
        <v>0</v>
      </c>
      <c r="N59" s="29"/>
      <c r="O59" s="66">
        <v>0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f t="shared" si="17"/>
        <v>1432</v>
      </c>
      <c r="V59" s="66">
        <v>0</v>
      </c>
      <c r="W59" s="66">
        <v>0</v>
      </c>
      <c r="X59" s="66">
        <v>0</v>
      </c>
      <c r="Y59" s="69">
        <f t="shared" si="23"/>
        <v>0</v>
      </c>
      <c r="Z59" s="66">
        <v>2480</v>
      </c>
      <c r="AA59" s="66">
        <f t="shared" si="24"/>
        <v>3106</v>
      </c>
      <c r="AB59" s="69">
        <v>1.2949999999999999</v>
      </c>
      <c r="AC59" s="66">
        <f t="shared" si="25"/>
        <v>3712941</v>
      </c>
      <c r="AD59" s="92">
        <f t="shared" si="26"/>
        <v>732128</v>
      </c>
      <c r="AE59" s="66">
        <f t="shared" si="27"/>
        <v>2324</v>
      </c>
      <c r="AF59" s="66">
        <f t="shared" si="28"/>
        <v>0</v>
      </c>
      <c r="AG59" s="66"/>
      <c r="AH59" s="66">
        <f t="shared" si="29"/>
        <v>0</v>
      </c>
      <c r="AI59" s="66"/>
      <c r="AJ59" s="19">
        <f t="shared" si="30"/>
        <v>4447393</v>
      </c>
      <c r="AK59" s="29">
        <f t="shared" si="31"/>
        <v>1.1200000000000001</v>
      </c>
      <c r="AL59" s="66">
        <f t="shared" si="18"/>
        <v>0</v>
      </c>
      <c r="AM59" s="19">
        <f t="shared" si="32"/>
        <v>0</v>
      </c>
      <c r="AN59" s="19">
        <f t="shared" si="33"/>
        <v>0</v>
      </c>
      <c r="AO59" s="19">
        <f t="shared" si="34"/>
        <v>0</v>
      </c>
      <c r="AP59" s="19"/>
      <c r="AQ59" s="19">
        <f t="shared" si="19"/>
        <v>0</v>
      </c>
      <c r="AR59" s="19">
        <f t="shared" si="40"/>
        <v>192391</v>
      </c>
      <c r="AS59" s="19">
        <f t="shared" si="41"/>
        <v>24357</v>
      </c>
      <c r="AT59" s="19">
        <f t="shared" si="22"/>
        <v>81624</v>
      </c>
      <c r="AU59" s="19">
        <f t="shared" si="35"/>
        <v>250250</v>
      </c>
      <c r="AV59" s="19">
        <f t="shared" si="36"/>
        <v>305316</v>
      </c>
      <c r="AW59" s="19">
        <f t="shared" si="37"/>
        <v>17804</v>
      </c>
      <c r="AX59" s="19">
        <f t="shared" si="38"/>
        <v>5319135</v>
      </c>
      <c r="AY59" s="19">
        <v>4331404</v>
      </c>
      <c r="AZ59" s="19">
        <f t="shared" si="39"/>
        <v>987731</v>
      </c>
      <c r="BB59" s="19">
        <v>192391</v>
      </c>
      <c r="BC59" s="19">
        <v>24357</v>
      </c>
      <c r="BD59" s="2"/>
      <c r="BE59" s="94">
        <v>98</v>
      </c>
      <c r="BF59" s="94">
        <v>1.0780000000000001</v>
      </c>
    </row>
    <row r="60" spans="1:58" ht="14.4" x14ac:dyDescent="0.25">
      <c r="A60" s="28" t="s">
        <v>20</v>
      </c>
      <c r="B60" s="29" t="s">
        <v>225</v>
      </c>
      <c r="C60" s="66">
        <v>106</v>
      </c>
      <c r="D60" s="66">
        <v>0</v>
      </c>
      <c r="E60" s="66">
        <v>5</v>
      </c>
      <c r="F60" s="66">
        <v>0</v>
      </c>
      <c r="G60" s="66">
        <v>4</v>
      </c>
      <c r="H60" s="66">
        <v>1</v>
      </c>
      <c r="I60" s="66">
        <v>0</v>
      </c>
      <c r="J60" s="66">
        <v>0</v>
      </c>
      <c r="K60" s="66">
        <v>0</v>
      </c>
      <c r="L60" s="29"/>
      <c r="M60" s="66">
        <v>0</v>
      </c>
      <c r="N60" s="29"/>
      <c r="O60" s="66">
        <v>0</v>
      </c>
      <c r="P60" s="66">
        <v>0</v>
      </c>
      <c r="Q60" s="66">
        <v>0</v>
      </c>
      <c r="R60" s="66">
        <v>0</v>
      </c>
      <c r="S60" s="66">
        <v>0</v>
      </c>
      <c r="T60" s="66">
        <v>0</v>
      </c>
      <c r="U60" s="66">
        <f t="shared" si="17"/>
        <v>116</v>
      </c>
      <c r="V60" s="66">
        <v>0</v>
      </c>
      <c r="W60" s="66">
        <v>0</v>
      </c>
      <c r="X60" s="66">
        <v>0</v>
      </c>
      <c r="Y60" s="69">
        <f t="shared" si="23"/>
        <v>0</v>
      </c>
      <c r="Z60" s="66">
        <v>3595</v>
      </c>
      <c r="AA60" s="66">
        <f t="shared" si="24"/>
        <v>4493</v>
      </c>
      <c r="AB60" s="69">
        <v>1.96</v>
      </c>
      <c r="AC60" s="66">
        <f t="shared" si="25"/>
        <v>455410</v>
      </c>
      <c r="AD60" s="92">
        <f t="shared" si="26"/>
        <v>65760</v>
      </c>
      <c r="AE60" s="66">
        <f t="shared" si="27"/>
        <v>0</v>
      </c>
      <c r="AF60" s="66">
        <f t="shared" si="28"/>
        <v>0</v>
      </c>
      <c r="AG60" s="66"/>
      <c r="AH60" s="66">
        <f t="shared" si="29"/>
        <v>0</v>
      </c>
      <c r="AI60" s="66"/>
      <c r="AJ60" s="19">
        <f t="shared" si="30"/>
        <v>521170</v>
      </c>
      <c r="AK60" s="29">
        <f t="shared" si="31"/>
        <v>1.1200000000000001</v>
      </c>
      <c r="AL60" s="66">
        <f t="shared" si="18"/>
        <v>0</v>
      </c>
      <c r="AM60" s="19">
        <f t="shared" si="32"/>
        <v>0</v>
      </c>
      <c r="AN60" s="19">
        <f t="shared" si="33"/>
        <v>0</v>
      </c>
      <c r="AO60" s="19">
        <f t="shared" si="34"/>
        <v>0</v>
      </c>
      <c r="AP60" s="19"/>
      <c r="AQ60" s="19">
        <f t="shared" si="19"/>
        <v>0</v>
      </c>
      <c r="AR60" s="19">
        <f t="shared" si="40"/>
        <v>20807</v>
      </c>
      <c r="AS60" s="19">
        <f t="shared" si="41"/>
        <v>2194</v>
      </c>
      <c r="AT60" s="19">
        <f t="shared" si="22"/>
        <v>6612</v>
      </c>
      <c r="AU60" s="19">
        <f t="shared" si="35"/>
        <v>20125</v>
      </c>
      <c r="AV60" s="19">
        <f t="shared" si="36"/>
        <v>29700</v>
      </c>
      <c r="AW60" s="19">
        <f t="shared" si="37"/>
        <v>2183</v>
      </c>
      <c r="AX60" s="19">
        <f t="shared" si="38"/>
        <v>602791</v>
      </c>
      <c r="AY60" s="19">
        <v>487495</v>
      </c>
      <c r="AZ60" s="19">
        <f t="shared" si="39"/>
        <v>115296</v>
      </c>
      <c r="BB60" s="19">
        <v>20807</v>
      </c>
      <c r="BC60" s="19">
        <v>2194</v>
      </c>
      <c r="BD60" s="2"/>
      <c r="BE60" s="94">
        <v>99</v>
      </c>
      <c r="BF60" s="94">
        <v>1.077</v>
      </c>
    </row>
    <row r="61" spans="1:58" ht="14.4" x14ac:dyDescent="0.25">
      <c r="A61" s="32" t="s">
        <v>20</v>
      </c>
      <c r="B61" s="29" t="s">
        <v>215</v>
      </c>
      <c r="C61" s="66">
        <v>8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1</v>
      </c>
      <c r="L61" s="29"/>
      <c r="M61" s="66">
        <v>0</v>
      </c>
      <c r="N61" s="29"/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f t="shared" si="17"/>
        <v>9</v>
      </c>
      <c r="V61" s="66">
        <v>0</v>
      </c>
      <c r="W61" s="66">
        <v>0</v>
      </c>
      <c r="X61" s="66">
        <v>0</v>
      </c>
      <c r="Y61" s="69">
        <f t="shared" si="23"/>
        <v>0</v>
      </c>
      <c r="Z61" s="66">
        <v>12976</v>
      </c>
      <c r="AA61" s="66">
        <f t="shared" si="24"/>
        <v>16076</v>
      </c>
      <c r="AB61" s="69">
        <v>2.04</v>
      </c>
      <c r="AC61" s="66">
        <f t="shared" si="25"/>
        <v>35773</v>
      </c>
      <c r="AD61" s="92">
        <f t="shared" si="26"/>
        <v>0</v>
      </c>
      <c r="AE61" s="66">
        <f t="shared" si="27"/>
        <v>1162</v>
      </c>
      <c r="AF61" s="66">
        <f t="shared" si="28"/>
        <v>0</v>
      </c>
      <c r="AG61" s="95">
        <f>ROUND(MAX(SUM(AC61:AF61),C$95*4.4)-SUM(AC61:AF61),0)</f>
        <v>107750</v>
      </c>
      <c r="AH61" s="66">
        <f t="shared" si="29"/>
        <v>0</v>
      </c>
      <c r="AI61" s="66"/>
      <c r="AJ61" s="19">
        <f t="shared" si="30"/>
        <v>144685</v>
      </c>
      <c r="AK61" s="29">
        <f t="shared" si="31"/>
        <v>1.1200000000000001</v>
      </c>
      <c r="AL61" s="66">
        <f t="shared" si="18"/>
        <v>0</v>
      </c>
      <c r="AM61" s="19">
        <f t="shared" si="32"/>
        <v>0</v>
      </c>
      <c r="AN61" s="19">
        <f t="shared" si="33"/>
        <v>0</v>
      </c>
      <c r="AO61" s="19">
        <f t="shared" si="34"/>
        <v>0</v>
      </c>
      <c r="AP61" s="19"/>
      <c r="AQ61" s="19">
        <f t="shared" si="19"/>
        <v>0</v>
      </c>
      <c r="AR61" s="19">
        <f t="shared" si="40"/>
        <v>6209</v>
      </c>
      <c r="AS61" s="19">
        <f t="shared" si="41"/>
        <v>414</v>
      </c>
      <c r="AT61" s="19">
        <f t="shared" si="22"/>
        <v>513</v>
      </c>
      <c r="AU61" s="19">
        <f t="shared" si="35"/>
        <v>1400</v>
      </c>
      <c r="AV61" s="19">
        <f t="shared" si="36"/>
        <v>0</v>
      </c>
      <c r="AW61" s="19">
        <f t="shared" si="37"/>
        <v>176</v>
      </c>
      <c r="AX61" s="19">
        <f t="shared" si="38"/>
        <v>153397</v>
      </c>
      <c r="AY61" s="19">
        <v>125438</v>
      </c>
      <c r="AZ61" s="19">
        <f t="shared" si="39"/>
        <v>27959</v>
      </c>
      <c r="BB61" s="19">
        <v>6209</v>
      </c>
      <c r="BC61" s="19">
        <v>414</v>
      </c>
      <c r="BD61" s="2"/>
      <c r="BE61" s="94">
        <v>100</v>
      </c>
      <c r="BF61" s="94">
        <v>1.077</v>
      </c>
    </row>
    <row r="62" spans="1:58" ht="14.4" x14ac:dyDescent="0.25">
      <c r="A62" s="32" t="s">
        <v>20</v>
      </c>
      <c r="B62" s="29" t="s">
        <v>597</v>
      </c>
      <c r="C62" s="66">
        <v>2620</v>
      </c>
      <c r="D62" s="66">
        <v>38</v>
      </c>
      <c r="E62" s="66">
        <v>158</v>
      </c>
      <c r="F62" s="66">
        <v>0</v>
      </c>
      <c r="G62" s="66">
        <v>121</v>
      </c>
      <c r="H62" s="66">
        <v>4</v>
      </c>
      <c r="I62" s="66">
        <v>0</v>
      </c>
      <c r="J62" s="66">
        <v>0</v>
      </c>
      <c r="K62" s="66">
        <v>4</v>
      </c>
      <c r="L62" s="29"/>
      <c r="M62" s="66">
        <v>19</v>
      </c>
      <c r="N62" s="29"/>
      <c r="O62" s="66">
        <v>0</v>
      </c>
      <c r="P62" s="66">
        <v>0</v>
      </c>
      <c r="Q62" s="66">
        <v>229</v>
      </c>
      <c r="R62" s="66">
        <v>0</v>
      </c>
      <c r="S62" s="66">
        <v>0</v>
      </c>
      <c r="T62" s="66">
        <v>0</v>
      </c>
      <c r="U62" s="66">
        <f t="shared" si="17"/>
        <v>3193</v>
      </c>
      <c r="V62" s="66">
        <v>10</v>
      </c>
      <c r="W62" s="66">
        <v>0</v>
      </c>
      <c r="X62" s="66">
        <v>0</v>
      </c>
      <c r="Y62" s="69">
        <f t="shared" si="23"/>
        <v>0</v>
      </c>
      <c r="Z62" s="66">
        <v>2444</v>
      </c>
      <c r="AA62" s="66">
        <f t="shared" si="24"/>
        <v>3022</v>
      </c>
      <c r="AB62" s="69">
        <v>1.2689999999999999</v>
      </c>
      <c r="AC62" s="66">
        <f t="shared" si="25"/>
        <v>7287918</v>
      </c>
      <c r="AD62" s="92">
        <f t="shared" si="26"/>
        <v>1788672</v>
      </c>
      <c r="AE62" s="66">
        <f t="shared" si="27"/>
        <v>4647</v>
      </c>
      <c r="AF62" s="66">
        <f t="shared" si="28"/>
        <v>41648</v>
      </c>
      <c r="AG62" s="66"/>
      <c r="AH62" s="66">
        <f t="shared" si="29"/>
        <v>0</v>
      </c>
      <c r="AI62" s="66"/>
      <c r="AJ62" s="19">
        <f t="shared" si="30"/>
        <v>9122885</v>
      </c>
      <c r="AK62" s="29">
        <f t="shared" si="31"/>
        <v>1.1200000000000001</v>
      </c>
      <c r="AL62" s="66">
        <f t="shared" si="18"/>
        <v>93292</v>
      </c>
      <c r="AM62" s="19">
        <f t="shared" si="32"/>
        <v>0</v>
      </c>
      <c r="AN62" s="19">
        <f t="shared" si="33"/>
        <v>431692</v>
      </c>
      <c r="AO62" s="19">
        <f t="shared" si="34"/>
        <v>0</v>
      </c>
      <c r="AP62" s="19"/>
      <c r="AQ62" s="19">
        <f t="shared" si="19"/>
        <v>524984</v>
      </c>
      <c r="AR62" s="19">
        <f t="shared" si="40"/>
        <v>373829</v>
      </c>
      <c r="AS62" s="19">
        <f t="shared" si="41"/>
        <v>46626</v>
      </c>
      <c r="AT62" s="19">
        <f t="shared" si="22"/>
        <v>182001</v>
      </c>
      <c r="AU62" s="19">
        <f t="shared" si="35"/>
        <v>513975</v>
      </c>
      <c r="AV62" s="19">
        <f t="shared" si="36"/>
        <v>790020</v>
      </c>
      <c r="AW62" s="19">
        <f t="shared" si="37"/>
        <v>35416</v>
      </c>
      <c r="AX62" s="19">
        <f t="shared" si="38"/>
        <v>11589736</v>
      </c>
      <c r="AY62" s="19">
        <v>9288683</v>
      </c>
      <c r="AZ62" s="19">
        <f t="shared" si="39"/>
        <v>2301053</v>
      </c>
      <c r="BB62" s="19">
        <v>373829</v>
      </c>
      <c r="BC62" s="19">
        <v>46626</v>
      </c>
      <c r="BD62" s="2"/>
      <c r="BE62" s="94">
        <v>101</v>
      </c>
      <c r="BF62" s="94">
        <v>1.0760000000000001</v>
      </c>
    </row>
    <row r="63" spans="1:58" ht="14.4" x14ac:dyDescent="0.25">
      <c r="A63" s="28" t="s">
        <v>13</v>
      </c>
      <c r="B63" s="29" t="s">
        <v>598</v>
      </c>
      <c r="C63" s="66">
        <v>1391</v>
      </c>
      <c r="D63" s="66">
        <v>172</v>
      </c>
      <c r="E63" s="66">
        <v>87</v>
      </c>
      <c r="F63" s="66">
        <v>1</v>
      </c>
      <c r="G63" s="66">
        <v>34</v>
      </c>
      <c r="H63" s="66">
        <v>1</v>
      </c>
      <c r="I63" s="66">
        <v>0</v>
      </c>
      <c r="J63" s="66">
        <v>0</v>
      </c>
      <c r="K63" s="66">
        <v>1</v>
      </c>
      <c r="L63" s="29"/>
      <c r="M63" s="66">
        <v>1</v>
      </c>
      <c r="N63" s="29"/>
      <c r="O63" s="66">
        <v>0</v>
      </c>
      <c r="P63" s="66">
        <v>0</v>
      </c>
      <c r="Q63" s="66">
        <v>54</v>
      </c>
      <c r="R63" s="66">
        <v>0</v>
      </c>
      <c r="S63" s="66">
        <v>0</v>
      </c>
      <c r="T63" s="66">
        <v>0</v>
      </c>
      <c r="U63" s="66">
        <f t="shared" si="17"/>
        <v>1742</v>
      </c>
      <c r="V63" s="66">
        <v>0</v>
      </c>
      <c r="W63" s="66">
        <v>0</v>
      </c>
      <c r="X63" s="66">
        <v>1</v>
      </c>
      <c r="Y63" s="69">
        <f t="shared" si="23"/>
        <v>4.2000000000000037E-2</v>
      </c>
      <c r="Z63" s="66">
        <v>2328</v>
      </c>
      <c r="AA63" s="66">
        <f t="shared" si="24"/>
        <v>2933</v>
      </c>
      <c r="AB63" s="69">
        <v>1.27</v>
      </c>
      <c r="AC63" s="66">
        <f t="shared" si="25"/>
        <v>3872321</v>
      </c>
      <c r="AD63" s="92">
        <f t="shared" si="26"/>
        <v>688288</v>
      </c>
      <c r="AE63" s="66">
        <f t="shared" si="27"/>
        <v>1162</v>
      </c>
      <c r="AF63" s="66">
        <f t="shared" si="28"/>
        <v>2192</v>
      </c>
      <c r="AG63" s="66"/>
      <c r="AH63" s="66">
        <f t="shared" si="29"/>
        <v>0</v>
      </c>
      <c r="AI63" s="66"/>
      <c r="AJ63" s="19">
        <f t="shared" si="30"/>
        <v>4563963</v>
      </c>
      <c r="AK63" s="29">
        <f t="shared" si="31"/>
        <v>1.1200000000000001</v>
      </c>
      <c r="AL63" s="66">
        <f t="shared" si="18"/>
        <v>422267</v>
      </c>
      <c r="AM63" s="19">
        <f t="shared" si="32"/>
        <v>5918</v>
      </c>
      <c r="AN63" s="19">
        <f t="shared" si="33"/>
        <v>101796</v>
      </c>
      <c r="AO63" s="19">
        <f t="shared" si="34"/>
        <v>15835</v>
      </c>
      <c r="AP63" s="19"/>
      <c r="AQ63" s="19">
        <f t="shared" si="19"/>
        <v>545816</v>
      </c>
      <c r="AR63" s="19">
        <f t="shared" si="40"/>
        <v>175607</v>
      </c>
      <c r="AS63" s="19">
        <f t="shared" si="41"/>
        <v>21705</v>
      </c>
      <c r="AT63" s="19">
        <f t="shared" si="22"/>
        <v>99294</v>
      </c>
      <c r="AU63" s="19">
        <f t="shared" si="35"/>
        <v>294875</v>
      </c>
      <c r="AV63" s="19">
        <f t="shared" si="36"/>
        <v>276448</v>
      </c>
      <c r="AW63" s="19">
        <f t="shared" si="37"/>
        <v>18460</v>
      </c>
      <c r="AX63" s="19">
        <f t="shared" si="38"/>
        <v>5996168</v>
      </c>
      <c r="AY63" s="19">
        <v>4674452</v>
      </c>
      <c r="AZ63" s="19">
        <f t="shared" si="39"/>
        <v>1321716</v>
      </c>
      <c r="BB63" s="19">
        <v>175607</v>
      </c>
      <c r="BC63" s="19">
        <v>21705</v>
      </c>
      <c r="BD63" s="2"/>
      <c r="BE63" s="94">
        <v>102</v>
      </c>
      <c r="BF63" s="94">
        <v>1.0760000000000001</v>
      </c>
    </row>
    <row r="64" spans="1:58" ht="14.4" x14ac:dyDescent="0.25">
      <c r="A64" s="28" t="s">
        <v>13</v>
      </c>
      <c r="B64" s="29" t="s">
        <v>198</v>
      </c>
      <c r="C64" s="66">
        <v>1345</v>
      </c>
      <c r="D64" s="66">
        <v>182</v>
      </c>
      <c r="E64" s="66">
        <v>28</v>
      </c>
      <c r="F64" s="66">
        <v>0</v>
      </c>
      <c r="G64" s="66">
        <v>5</v>
      </c>
      <c r="H64" s="66">
        <v>0</v>
      </c>
      <c r="I64" s="66">
        <v>0</v>
      </c>
      <c r="J64" s="66">
        <v>0</v>
      </c>
      <c r="K64" s="66">
        <v>1</v>
      </c>
      <c r="L64" s="29"/>
      <c r="M64" s="66">
        <v>0</v>
      </c>
      <c r="N64" s="29"/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f t="shared" si="17"/>
        <v>1561</v>
      </c>
      <c r="V64" s="66">
        <v>0</v>
      </c>
      <c r="W64" s="66">
        <v>0</v>
      </c>
      <c r="X64" s="66">
        <v>0</v>
      </c>
      <c r="Y64" s="69">
        <f t="shared" si="23"/>
        <v>3.6999999999999922E-2</v>
      </c>
      <c r="Z64" s="66">
        <v>2096</v>
      </c>
      <c r="AA64" s="66">
        <f t="shared" si="24"/>
        <v>2605</v>
      </c>
      <c r="AB64" s="69">
        <v>1.1659999999999999</v>
      </c>
      <c r="AC64" s="66">
        <f t="shared" si="25"/>
        <v>3437648</v>
      </c>
      <c r="AD64" s="92">
        <f t="shared" si="26"/>
        <v>166592</v>
      </c>
      <c r="AE64" s="66">
        <f t="shared" si="27"/>
        <v>1162</v>
      </c>
      <c r="AF64" s="66">
        <f t="shared" si="28"/>
        <v>0</v>
      </c>
      <c r="AG64" s="66"/>
      <c r="AH64" s="66">
        <f t="shared" si="29"/>
        <v>0</v>
      </c>
      <c r="AI64" s="66"/>
      <c r="AJ64" s="19">
        <f t="shared" si="30"/>
        <v>3605402</v>
      </c>
      <c r="AK64" s="29">
        <f t="shared" si="31"/>
        <v>1.1200000000000001</v>
      </c>
      <c r="AL64" s="66">
        <f t="shared" si="18"/>
        <v>446817</v>
      </c>
      <c r="AM64" s="19">
        <f t="shared" si="32"/>
        <v>0</v>
      </c>
      <c r="AN64" s="19">
        <f t="shared" si="33"/>
        <v>0</v>
      </c>
      <c r="AO64" s="19">
        <f t="shared" si="34"/>
        <v>14761</v>
      </c>
      <c r="AP64" s="19"/>
      <c r="AQ64" s="19">
        <f t="shared" si="19"/>
        <v>461578</v>
      </c>
      <c r="AR64" s="19">
        <f t="shared" si="40"/>
        <v>143612</v>
      </c>
      <c r="AS64" s="19">
        <f t="shared" si="41"/>
        <v>18732</v>
      </c>
      <c r="AT64" s="19">
        <f t="shared" si="22"/>
        <v>88977</v>
      </c>
      <c r="AU64" s="19">
        <f t="shared" si="35"/>
        <v>273000</v>
      </c>
      <c r="AV64" s="19">
        <f t="shared" si="36"/>
        <v>57024</v>
      </c>
      <c r="AW64" s="19">
        <f t="shared" si="37"/>
        <v>15437</v>
      </c>
      <c r="AX64" s="19">
        <f t="shared" si="38"/>
        <v>4663762</v>
      </c>
      <c r="AY64" s="19">
        <v>3571251</v>
      </c>
      <c r="AZ64" s="19">
        <f t="shared" si="39"/>
        <v>1092511</v>
      </c>
      <c r="BB64" s="19">
        <v>96388</v>
      </c>
      <c r="BC64" s="19">
        <v>12230</v>
      </c>
      <c r="BD64" s="2"/>
      <c r="BE64" s="94">
        <v>103</v>
      </c>
      <c r="BF64" s="94">
        <v>1.075</v>
      </c>
    </row>
    <row r="65" spans="1:58" ht="14.4" x14ac:dyDescent="0.25">
      <c r="A65" s="28" t="s">
        <v>13</v>
      </c>
      <c r="B65" s="29" t="s">
        <v>599</v>
      </c>
      <c r="C65" s="66">
        <v>423</v>
      </c>
      <c r="D65" s="66">
        <v>48</v>
      </c>
      <c r="E65" s="66">
        <v>14</v>
      </c>
      <c r="F65" s="66">
        <v>0</v>
      </c>
      <c r="G65" s="66">
        <v>6</v>
      </c>
      <c r="H65" s="66">
        <v>0</v>
      </c>
      <c r="I65" s="66">
        <v>0</v>
      </c>
      <c r="J65" s="66">
        <v>0</v>
      </c>
      <c r="K65" s="66">
        <v>0</v>
      </c>
      <c r="L65" s="29"/>
      <c r="M65" s="66">
        <v>0</v>
      </c>
      <c r="N65" s="29"/>
      <c r="O65" s="66">
        <v>0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f t="shared" si="17"/>
        <v>491</v>
      </c>
      <c r="V65" s="66">
        <v>0</v>
      </c>
      <c r="W65" s="66">
        <v>0</v>
      </c>
      <c r="X65" s="66">
        <v>0</v>
      </c>
      <c r="Y65" s="69">
        <f t="shared" si="23"/>
        <v>6.899999999999995E-2</v>
      </c>
      <c r="Z65" s="66">
        <v>3175</v>
      </c>
      <c r="AA65" s="66">
        <f t="shared" si="24"/>
        <v>3947</v>
      </c>
      <c r="AB65" s="69">
        <v>1.8320000000000001</v>
      </c>
      <c r="AC65" s="66">
        <f t="shared" si="25"/>
        <v>1698660</v>
      </c>
      <c r="AD65" s="92">
        <f t="shared" si="26"/>
        <v>113984</v>
      </c>
      <c r="AE65" s="66">
        <f t="shared" si="27"/>
        <v>0</v>
      </c>
      <c r="AF65" s="66">
        <f t="shared" si="28"/>
        <v>0</v>
      </c>
      <c r="AG65" s="66"/>
      <c r="AH65" s="66">
        <f t="shared" si="29"/>
        <v>0</v>
      </c>
      <c r="AI65" s="66"/>
      <c r="AJ65" s="19">
        <f t="shared" si="30"/>
        <v>1812644</v>
      </c>
      <c r="AK65" s="29">
        <f t="shared" si="31"/>
        <v>1.1200000000000001</v>
      </c>
      <c r="AL65" s="66">
        <f t="shared" si="18"/>
        <v>117842</v>
      </c>
      <c r="AM65" s="19">
        <f t="shared" si="32"/>
        <v>0</v>
      </c>
      <c r="AN65" s="19">
        <f t="shared" si="33"/>
        <v>0</v>
      </c>
      <c r="AO65" s="19">
        <f t="shared" si="34"/>
        <v>7260</v>
      </c>
      <c r="AP65" s="19"/>
      <c r="AQ65" s="19">
        <f t="shared" si="19"/>
        <v>125102</v>
      </c>
      <c r="AR65" s="19">
        <f t="shared" si="40"/>
        <v>45469</v>
      </c>
      <c r="AS65" s="19">
        <f t="shared" si="41"/>
        <v>5892</v>
      </c>
      <c r="AT65" s="19">
        <f t="shared" si="22"/>
        <v>27987</v>
      </c>
      <c r="AU65" s="19">
        <f t="shared" si="35"/>
        <v>85925</v>
      </c>
      <c r="AV65" s="19">
        <f t="shared" si="36"/>
        <v>45144</v>
      </c>
      <c r="AW65" s="19">
        <f t="shared" si="37"/>
        <v>7792</v>
      </c>
      <c r="AX65" s="19">
        <f t="shared" si="38"/>
        <v>2155955</v>
      </c>
      <c r="AY65" s="19">
        <v>1657770</v>
      </c>
      <c r="AZ65" s="19">
        <f t="shared" si="39"/>
        <v>498185</v>
      </c>
      <c r="BB65" s="19">
        <v>45469</v>
      </c>
      <c r="BC65" s="19">
        <v>5831</v>
      </c>
      <c r="BD65" s="2"/>
      <c r="BE65" s="94">
        <v>104</v>
      </c>
      <c r="BF65" s="94">
        <v>1.075</v>
      </c>
    </row>
    <row r="66" spans="1:58" ht="14.4" x14ac:dyDescent="0.25">
      <c r="A66" s="28" t="s">
        <v>13</v>
      </c>
      <c r="B66" s="29" t="s">
        <v>192</v>
      </c>
      <c r="C66" s="66">
        <v>393</v>
      </c>
      <c r="D66" s="66">
        <v>86</v>
      </c>
      <c r="E66" s="66">
        <v>11</v>
      </c>
      <c r="F66" s="66">
        <v>0</v>
      </c>
      <c r="G66" s="66">
        <v>8</v>
      </c>
      <c r="H66" s="66">
        <v>0</v>
      </c>
      <c r="I66" s="66">
        <v>0</v>
      </c>
      <c r="J66" s="66">
        <v>0</v>
      </c>
      <c r="K66" s="66">
        <v>0</v>
      </c>
      <c r="L66" s="29"/>
      <c r="M66" s="66">
        <v>0</v>
      </c>
      <c r="N66" s="29"/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f t="shared" si="17"/>
        <v>498</v>
      </c>
      <c r="V66" s="66">
        <v>0</v>
      </c>
      <c r="W66" s="66">
        <v>0</v>
      </c>
      <c r="X66" s="66">
        <v>0</v>
      </c>
      <c r="Y66" s="69">
        <f t="shared" si="23"/>
        <v>8.2999999999999963E-2</v>
      </c>
      <c r="Z66" s="66">
        <v>2558</v>
      </c>
      <c r="AA66" s="66">
        <f t="shared" si="24"/>
        <v>3167</v>
      </c>
      <c r="AB66" s="69">
        <v>1.43</v>
      </c>
      <c r="AC66" s="66">
        <f t="shared" si="25"/>
        <v>1231882</v>
      </c>
      <c r="AD66" s="92">
        <f t="shared" si="26"/>
        <v>118368</v>
      </c>
      <c r="AE66" s="66">
        <f t="shared" si="27"/>
        <v>0</v>
      </c>
      <c r="AF66" s="66">
        <f t="shared" si="28"/>
        <v>0</v>
      </c>
      <c r="AG66" s="66"/>
      <c r="AH66" s="66">
        <f t="shared" si="29"/>
        <v>0</v>
      </c>
      <c r="AI66" s="66"/>
      <c r="AJ66" s="19">
        <f t="shared" si="30"/>
        <v>1350250</v>
      </c>
      <c r="AK66" s="29">
        <f t="shared" si="31"/>
        <v>1.1200000000000001</v>
      </c>
      <c r="AL66" s="66">
        <f t="shared" si="18"/>
        <v>211133</v>
      </c>
      <c r="AM66" s="19">
        <f t="shared" si="32"/>
        <v>0</v>
      </c>
      <c r="AN66" s="19">
        <f t="shared" si="33"/>
        <v>0</v>
      </c>
      <c r="AO66" s="19">
        <f t="shared" si="34"/>
        <v>15646</v>
      </c>
      <c r="AP66" s="19"/>
      <c r="AQ66" s="19">
        <f t="shared" si="19"/>
        <v>226779</v>
      </c>
      <c r="AR66" s="19">
        <f t="shared" si="40"/>
        <v>45816</v>
      </c>
      <c r="AS66" s="19">
        <f t="shared" si="41"/>
        <v>5976</v>
      </c>
      <c r="AT66" s="19">
        <f t="shared" si="22"/>
        <v>28386</v>
      </c>
      <c r="AU66" s="19">
        <f t="shared" si="35"/>
        <v>87150</v>
      </c>
      <c r="AV66" s="19">
        <f t="shared" si="36"/>
        <v>51084</v>
      </c>
      <c r="AW66" s="19">
        <f t="shared" si="37"/>
        <v>5656</v>
      </c>
      <c r="AX66" s="19">
        <f t="shared" si="38"/>
        <v>1801097</v>
      </c>
      <c r="AY66" s="19">
        <v>1456367</v>
      </c>
      <c r="AZ66" s="19">
        <f t="shared" si="39"/>
        <v>344730</v>
      </c>
      <c r="BB66" s="19">
        <v>34463</v>
      </c>
      <c r="BC66" s="19">
        <v>3969</v>
      </c>
      <c r="BD66" s="2"/>
      <c r="BE66" s="94">
        <v>105</v>
      </c>
      <c r="BF66" s="94">
        <v>1.0740000000000001</v>
      </c>
    </row>
    <row r="67" spans="1:58" ht="14.4" x14ac:dyDescent="0.25">
      <c r="A67" s="28" t="s">
        <v>13</v>
      </c>
      <c r="B67" s="29" t="s">
        <v>186</v>
      </c>
      <c r="C67" s="66">
        <v>461</v>
      </c>
      <c r="D67" s="66">
        <v>0</v>
      </c>
      <c r="E67" s="66">
        <v>18</v>
      </c>
      <c r="F67" s="66">
        <v>0</v>
      </c>
      <c r="G67" s="66">
        <v>5</v>
      </c>
      <c r="H67" s="66">
        <v>0</v>
      </c>
      <c r="I67" s="66">
        <v>0</v>
      </c>
      <c r="J67" s="66">
        <v>0</v>
      </c>
      <c r="K67" s="66">
        <v>0</v>
      </c>
      <c r="L67" s="29"/>
      <c r="M67" s="66">
        <v>0</v>
      </c>
      <c r="N67" s="29"/>
      <c r="O67" s="66">
        <v>0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f t="shared" si="17"/>
        <v>484</v>
      </c>
      <c r="V67" s="66">
        <v>0</v>
      </c>
      <c r="W67" s="66">
        <v>0</v>
      </c>
      <c r="X67" s="66">
        <v>0</v>
      </c>
      <c r="Y67" s="69">
        <f t="shared" si="23"/>
        <v>0</v>
      </c>
      <c r="Z67" s="66">
        <v>2103</v>
      </c>
      <c r="AA67" s="66">
        <f t="shared" si="24"/>
        <v>2592</v>
      </c>
      <c r="AB67" s="69">
        <v>1.1200000000000001</v>
      </c>
      <c r="AC67" s="66">
        <f t="shared" si="25"/>
        <v>1131773</v>
      </c>
      <c r="AD67" s="92">
        <f t="shared" si="26"/>
        <v>122752</v>
      </c>
      <c r="AE67" s="66">
        <f t="shared" si="27"/>
        <v>0</v>
      </c>
      <c r="AF67" s="66">
        <f t="shared" si="28"/>
        <v>0</v>
      </c>
      <c r="AG67" s="66"/>
      <c r="AH67" s="66">
        <f t="shared" si="29"/>
        <v>0</v>
      </c>
      <c r="AI67" s="66"/>
      <c r="AJ67" s="19">
        <f t="shared" si="30"/>
        <v>1254525</v>
      </c>
      <c r="AK67" s="29">
        <f t="shared" si="31"/>
        <v>1.1200000000000001</v>
      </c>
      <c r="AL67" s="66">
        <f t="shared" si="18"/>
        <v>0</v>
      </c>
      <c r="AM67" s="19">
        <f t="shared" si="32"/>
        <v>0</v>
      </c>
      <c r="AN67" s="19">
        <f t="shared" si="33"/>
        <v>0</v>
      </c>
      <c r="AO67" s="19">
        <f t="shared" si="34"/>
        <v>0</v>
      </c>
      <c r="AP67" s="19"/>
      <c r="AQ67" s="19">
        <f t="shared" si="19"/>
        <v>0</v>
      </c>
      <c r="AR67" s="19">
        <f t="shared" si="40"/>
        <v>44528</v>
      </c>
      <c r="AS67" s="19">
        <f t="shared" si="41"/>
        <v>5808</v>
      </c>
      <c r="AT67" s="19">
        <f t="shared" si="22"/>
        <v>27588</v>
      </c>
      <c r="AU67" s="19">
        <f t="shared" si="35"/>
        <v>84700</v>
      </c>
      <c r="AV67" s="19">
        <f t="shared" si="36"/>
        <v>45144</v>
      </c>
      <c r="AW67" s="19">
        <f t="shared" si="37"/>
        <v>5204</v>
      </c>
      <c r="AX67" s="19">
        <f t="shared" si="38"/>
        <v>1467497</v>
      </c>
      <c r="AY67" s="19">
        <v>1155403</v>
      </c>
      <c r="AZ67" s="19">
        <f t="shared" si="39"/>
        <v>312094</v>
      </c>
      <c r="BB67" s="19">
        <v>41351</v>
      </c>
      <c r="BC67" s="19">
        <v>4961</v>
      </c>
      <c r="BD67" s="2"/>
      <c r="BE67" s="94">
        <v>106</v>
      </c>
      <c r="BF67" s="94">
        <v>1.0740000000000001</v>
      </c>
    </row>
    <row r="68" spans="1:58" ht="14.4" x14ac:dyDescent="0.25">
      <c r="A68" s="28" t="s">
        <v>13</v>
      </c>
      <c r="B68" s="29" t="s">
        <v>184</v>
      </c>
      <c r="C68" s="66">
        <v>349</v>
      </c>
      <c r="D68" s="66">
        <v>0</v>
      </c>
      <c r="E68" s="66">
        <v>19</v>
      </c>
      <c r="F68" s="66">
        <v>0</v>
      </c>
      <c r="G68" s="66">
        <v>8</v>
      </c>
      <c r="H68" s="66">
        <v>0</v>
      </c>
      <c r="I68" s="66">
        <v>0</v>
      </c>
      <c r="J68" s="66">
        <v>0</v>
      </c>
      <c r="K68" s="66">
        <v>0</v>
      </c>
      <c r="L68" s="29"/>
      <c r="M68" s="66">
        <v>0</v>
      </c>
      <c r="N68" s="29"/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f t="shared" si="17"/>
        <v>376</v>
      </c>
      <c r="V68" s="66">
        <v>0</v>
      </c>
      <c r="W68" s="66">
        <v>0</v>
      </c>
      <c r="X68" s="66">
        <v>0</v>
      </c>
      <c r="Y68" s="69">
        <f t="shared" ref="Y68:Y82" si="42">IF(AND(D68&lt;251,D68&gt;=43),VLOOKUP(D68,BE$4:BF$211,2,FALSE)-1,0)</f>
        <v>0</v>
      </c>
      <c r="Z68" s="66">
        <v>3040</v>
      </c>
      <c r="AA68" s="66">
        <f t="shared" ref="AA68:AA82" si="43">ROUND((SUM(AC68:AG68)+AQ68)/U68,0)</f>
        <v>3822</v>
      </c>
      <c r="AB68" s="69">
        <v>1.6779999999999999</v>
      </c>
      <c r="AC68" s="66">
        <f t="shared" ref="AC68:AC82" si="44">ROUND(C68*AB68*C$88,0)</f>
        <v>1283683</v>
      </c>
      <c r="AD68" s="92">
        <f t="shared" ref="AD68:AD82" si="45">ROUND((E68*E$84+G68*G$84+H68*H$84)*C$88,0)</f>
        <v>153440</v>
      </c>
      <c r="AE68" s="66">
        <f t="shared" ref="AE68:AE82" si="46">ROUND(K68*K$84*C$88,0)</f>
        <v>0</v>
      </c>
      <c r="AF68" s="66">
        <f t="shared" ref="AF68:AF82" si="47">ROUND((M68*M$84+N68*N$84+P68*P$84)*C$88,0)</f>
        <v>0</v>
      </c>
      <c r="AG68" s="66"/>
      <c r="AH68" s="66">
        <f t="shared" ref="AH68:AH82" si="48">IF(AA68&lt;Z68,(Z68-AA68)*U68,0)</f>
        <v>0</v>
      </c>
      <c r="AI68" s="66"/>
      <c r="AJ68" s="19">
        <f t="shared" ref="AJ68:AJ82" si="49">SUM(AC68:AI68)</f>
        <v>1437123</v>
      </c>
      <c r="AK68" s="29">
        <f t="shared" ref="AK68:AK82" si="50">IF(D68&lt;400,1.12,IF(D68&lt;=500,1.06,1))</f>
        <v>1.1200000000000001</v>
      </c>
      <c r="AL68" s="66">
        <f t="shared" si="18"/>
        <v>0</v>
      </c>
      <c r="AM68" s="19">
        <f t="shared" ref="AM68:AM82" si="51">ROUND((F68*F$84+I68*I$84+J68*J$84)*C$88,0)</f>
        <v>0</v>
      </c>
      <c r="AN68" s="19">
        <f t="shared" ref="AN68:AN82" si="52">ROUND((Q68*Q$84)*C$88,0)+ROUND((T68*T$84)*C$88,0)+ROUND((R68*R$84)*C$88,0)</f>
        <v>0</v>
      </c>
      <c r="AO68" s="19">
        <f t="shared" ref="AO68:AO82" si="53">ROUND(D68*Y68*C$88,0)</f>
        <v>0</v>
      </c>
      <c r="AP68" s="19"/>
      <c r="AQ68" s="19">
        <f t="shared" si="19"/>
        <v>0</v>
      </c>
      <c r="AR68" s="19">
        <f t="shared" si="40"/>
        <v>100120</v>
      </c>
      <c r="AS68" s="19">
        <f t="shared" si="41"/>
        <v>10304</v>
      </c>
      <c r="AT68" s="19">
        <f t="shared" si="22"/>
        <v>21432</v>
      </c>
      <c r="AU68" s="19">
        <f t="shared" ref="AU68:AU82" si="54">ROUND((C68+D68+E68+F68+G68+I68)*C$92,0)</f>
        <v>65800</v>
      </c>
      <c r="AV68" s="19">
        <f t="shared" ref="AV68:AV82" si="55">ROUND((E68*E$85+F68*F$85+G68*G$85+H68*H$85+I68*I$85+J68*J$85)*C$93,0)+ROUND((V68*V$85)*C$93,0)+ROUND((W68*W$85+X68*X$85)*C$93,0)</f>
        <v>60588</v>
      </c>
      <c r="AW68" s="19">
        <f t="shared" ref="AW68:AW82" si="56">ROUND((C68+E68+G68+H68+K68)*AB68*C$94,0)</f>
        <v>6057</v>
      </c>
      <c r="AX68" s="19">
        <f t="shared" ref="AX68:AX82" si="57">AJ68+AQ68+AR68+AS68+AT68+AU68+AV68+AW68</f>
        <v>1701424</v>
      </c>
      <c r="AY68" s="19">
        <v>1357743</v>
      </c>
      <c r="AZ68" s="19">
        <f t="shared" ref="AZ68:AZ82" si="58">AX68-AY68</f>
        <v>343681</v>
      </c>
      <c r="BB68" s="19">
        <v>100120</v>
      </c>
      <c r="BC68" s="19">
        <v>10304</v>
      </c>
      <c r="BD68" s="2"/>
      <c r="BE68" s="94">
        <v>107</v>
      </c>
      <c r="BF68" s="94">
        <v>1.073</v>
      </c>
    </row>
    <row r="69" spans="1:58" ht="14.4" x14ac:dyDescent="0.25">
      <c r="A69" s="28" t="s">
        <v>13</v>
      </c>
      <c r="B69" s="29" t="s">
        <v>174</v>
      </c>
      <c r="C69" s="66">
        <v>1176</v>
      </c>
      <c r="D69" s="66">
        <v>146</v>
      </c>
      <c r="E69" s="66">
        <v>55</v>
      </c>
      <c r="F69" s="66">
        <v>0</v>
      </c>
      <c r="G69" s="66">
        <v>10</v>
      </c>
      <c r="H69" s="66">
        <v>0</v>
      </c>
      <c r="I69" s="66">
        <v>0</v>
      </c>
      <c r="J69" s="66">
        <v>0</v>
      </c>
      <c r="K69" s="66">
        <v>1</v>
      </c>
      <c r="L69" s="29"/>
      <c r="M69" s="66">
        <v>0</v>
      </c>
      <c r="N69" s="29"/>
      <c r="O69" s="66">
        <v>0</v>
      </c>
      <c r="P69" s="66">
        <v>0</v>
      </c>
      <c r="Q69" s="66">
        <v>0</v>
      </c>
      <c r="R69" s="66">
        <v>0</v>
      </c>
      <c r="S69" s="66">
        <v>0</v>
      </c>
      <c r="T69" s="66">
        <v>0</v>
      </c>
      <c r="U69" s="66">
        <f t="shared" ref="U69:U82" si="59">SUM(C69:T69)-P69-T69</f>
        <v>1388</v>
      </c>
      <c r="V69" s="66">
        <v>0</v>
      </c>
      <c r="W69" s="66">
        <v>0</v>
      </c>
      <c r="X69" s="66">
        <v>0</v>
      </c>
      <c r="Y69" s="69">
        <f t="shared" si="42"/>
        <v>5.4999999999999938E-2</v>
      </c>
      <c r="Z69" s="66">
        <v>2443</v>
      </c>
      <c r="AA69" s="66">
        <f t="shared" si="43"/>
        <v>3029</v>
      </c>
      <c r="AB69" s="69">
        <v>1.357</v>
      </c>
      <c r="AC69" s="66">
        <f t="shared" si="44"/>
        <v>3498064</v>
      </c>
      <c r="AD69" s="92">
        <f t="shared" si="45"/>
        <v>328800</v>
      </c>
      <c r="AE69" s="66">
        <f t="shared" si="46"/>
        <v>1162</v>
      </c>
      <c r="AF69" s="66">
        <f t="shared" si="47"/>
        <v>0</v>
      </c>
      <c r="AG69" s="66"/>
      <c r="AH69" s="66">
        <f t="shared" si="48"/>
        <v>0</v>
      </c>
      <c r="AI69" s="66"/>
      <c r="AJ69" s="19">
        <f t="shared" si="49"/>
        <v>3828026</v>
      </c>
      <c r="AK69" s="29">
        <f t="shared" si="50"/>
        <v>1.1200000000000001</v>
      </c>
      <c r="AL69" s="66">
        <f t="shared" ref="AL69:AL82" si="60">ROUND((D69+L69)*AK69*C$88,0)</f>
        <v>358436</v>
      </c>
      <c r="AM69" s="19">
        <f t="shared" si="51"/>
        <v>0</v>
      </c>
      <c r="AN69" s="19">
        <f t="shared" si="52"/>
        <v>0</v>
      </c>
      <c r="AO69" s="19">
        <f t="shared" si="53"/>
        <v>17602</v>
      </c>
      <c r="AP69" s="19"/>
      <c r="AQ69" s="19">
        <f t="shared" ref="AQ69:AQ82" si="61">SUM(AL69:AP69)</f>
        <v>376038</v>
      </c>
      <c r="AR69" s="19">
        <f t="shared" ref="AR69:AR82" si="62">MAX(U69*C$89,BB69)</f>
        <v>127696</v>
      </c>
      <c r="AS69" s="19">
        <f t="shared" ref="AS69:AS82" si="63">MAX(U69*C$90,BC69)</f>
        <v>16656</v>
      </c>
      <c r="AT69" s="19">
        <f t="shared" ref="AT69:AT82" si="64">ROUND((SUM(C69:J69)+K69+L69+M69+SUM(N69:O69)/5+Q69+SUM(R69:S69)/5)*C$91,0)</f>
        <v>79116</v>
      </c>
      <c r="AU69" s="19">
        <f t="shared" si="54"/>
        <v>242725</v>
      </c>
      <c r="AV69" s="19">
        <f t="shared" si="55"/>
        <v>112860</v>
      </c>
      <c r="AW69" s="19">
        <f t="shared" si="56"/>
        <v>16181</v>
      </c>
      <c r="AX69" s="19">
        <f t="shared" si="57"/>
        <v>4799298</v>
      </c>
      <c r="AY69" s="19">
        <v>3805355</v>
      </c>
      <c r="AZ69" s="19">
        <f t="shared" si="58"/>
        <v>993943</v>
      </c>
      <c r="BB69" s="19">
        <v>123785</v>
      </c>
      <c r="BC69" s="19">
        <v>14453</v>
      </c>
      <c r="BD69" s="2"/>
      <c r="BE69" s="94">
        <v>108</v>
      </c>
      <c r="BF69" s="94">
        <v>1.073</v>
      </c>
    </row>
    <row r="70" spans="1:58" ht="14.4" x14ac:dyDescent="0.25">
      <c r="A70" s="28" t="s">
        <v>13</v>
      </c>
      <c r="B70" s="29" t="s">
        <v>15</v>
      </c>
      <c r="C70" s="66">
        <v>9129</v>
      </c>
      <c r="D70" s="66">
        <v>2401</v>
      </c>
      <c r="E70" s="66">
        <v>452</v>
      </c>
      <c r="F70" s="66">
        <v>15</v>
      </c>
      <c r="G70" s="66">
        <v>481</v>
      </c>
      <c r="H70" s="66">
        <v>17</v>
      </c>
      <c r="I70" s="66">
        <v>24</v>
      </c>
      <c r="J70" s="66">
        <v>1</v>
      </c>
      <c r="K70" s="66">
        <v>8</v>
      </c>
      <c r="L70" s="29"/>
      <c r="M70" s="66">
        <v>45</v>
      </c>
      <c r="N70" s="29"/>
      <c r="O70" s="66">
        <v>0</v>
      </c>
      <c r="P70" s="66">
        <v>0</v>
      </c>
      <c r="Q70" s="66">
        <v>534</v>
      </c>
      <c r="R70" s="66">
        <v>5</v>
      </c>
      <c r="S70" s="66">
        <v>10</v>
      </c>
      <c r="T70" s="66">
        <v>81</v>
      </c>
      <c r="U70" s="66">
        <f t="shared" si="59"/>
        <v>13122</v>
      </c>
      <c r="V70" s="66">
        <v>0</v>
      </c>
      <c r="W70" s="66">
        <v>3</v>
      </c>
      <c r="X70" s="66">
        <v>8</v>
      </c>
      <c r="Y70" s="69">
        <f t="shared" si="42"/>
        <v>0</v>
      </c>
      <c r="Z70" s="66">
        <v>2048</v>
      </c>
      <c r="AA70" s="66">
        <f t="shared" si="43"/>
        <v>2532</v>
      </c>
      <c r="AB70" s="69">
        <v>1.008</v>
      </c>
      <c r="AC70" s="66">
        <f t="shared" si="44"/>
        <v>20170854</v>
      </c>
      <c r="AD70" s="92">
        <f t="shared" si="45"/>
        <v>6348032</v>
      </c>
      <c r="AE70" s="66">
        <f t="shared" si="46"/>
        <v>9294</v>
      </c>
      <c r="AF70" s="66">
        <f t="shared" si="47"/>
        <v>98640</v>
      </c>
      <c r="AG70" s="66"/>
      <c r="AH70" s="66">
        <f t="shared" si="48"/>
        <v>0</v>
      </c>
      <c r="AI70" s="66"/>
      <c r="AJ70" s="19">
        <f t="shared" si="49"/>
        <v>26626820</v>
      </c>
      <c r="AK70" s="29">
        <f t="shared" si="50"/>
        <v>1</v>
      </c>
      <c r="AL70" s="66">
        <f t="shared" si="60"/>
        <v>5262992</v>
      </c>
      <c r="AM70" s="19">
        <f t="shared" si="51"/>
        <v>307976</v>
      </c>
      <c r="AN70" s="19">
        <f t="shared" si="52"/>
        <v>1022700</v>
      </c>
      <c r="AO70" s="19">
        <f t="shared" si="53"/>
        <v>0</v>
      </c>
      <c r="AP70" s="19"/>
      <c r="AQ70" s="19">
        <f t="shared" si="61"/>
        <v>6593668</v>
      </c>
      <c r="AR70" s="19">
        <f t="shared" si="62"/>
        <v>1207224</v>
      </c>
      <c r="AS70" s="19">
        <f t="shared" si="63"/>
        <v>157464</v>
      </c>
      <c r="AT70" s="19">
        <f t="shared" si="64"/>
        <v>747270</v>
      </c>
      <c r="AU70" s="19">
        <f t="shared" si="54"/>
        <v>2187850</v>
      </c>
      <c r="AV70" s="19">
        <f t="shared" si="55"/>
        <v>3095215</v>
      </c>
      <c r="AW70" s="19">
        <f t="shared" si="56"/>
        <v>97615</v>
      </c>
      <c r="AX70" s="19">
        <f t="shared" si="57"/>
        <v>40713126</v>
      </c>
      <c r="AY70" s="19">
        <v>33032224</v>
      </c>
      <c r="AZ70" s="19">
        <f t="shared" si="58"/>
        <v>7680902</v>
      </c>
      <c r="BB70" s="19">
        <v>979789</v>
      </c>
      <c r="BC70" s="19">
        <v>153581</v>
      </c>
      <c r="BD70" s="2"/>
      <c r="BE70" s="94">
        <v>109</v>
      </c>
      <c r="BF70" s="94">
        <v>1.0720000000000001</v>
      </c>
    </row>
    <row r="71" spans="1:58" ht="14.4" x14ac:dyDescent="0.25">
      <c r="A71" s="28" t="s">
        <v>10</v>
      </c>
      <c r="B71" s="29" t="s">
        <v>154</v>
      </c>
      <c r="C71" s="66">
        <v>572</v>
      </c>
      <c r="D71" s="66">
        <v>80</v>
      </c>
      <c r="E71" s="66">
        <v>43</v>
      </c>
      <c r="F71" s="66">
        <v>0</v>
      </c>
      <c r="G71" s="66">
        <v>12</v>
      </c>
      <c r="H71" s="66">
        <v>0</v>
      </c>
      <c r="I71" s="66">
        <v>0</v>
      </c>
      <c r="J71" s="66">
        <v>0</v>
      </c>
      <c r="K71" s="66">
        <v>0</v>
      </c>
      <c r="L71" s="29"/>
      <c r="M71" s="66">
        <v>0</v>
      </c>
      <c r="N71" s="29"/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f t="shared" si="59"/>
        <v>707</v>
      </c>
      <c r="V71" s="66">
        <v>0</v>
      </c>
      <c r="W71" s="66">
        <v>0</v>
      </c>
      <c r="X71" s="66">
        <v>0</v>
      </c>
      <c r="Y71" s="69">
        <f t="shared" si="42"/>
        <v>8.6000000000000076E-2</v>
      </c>
      <c r="Z71" s="66">
        <v>2776</v>
      </c>
      <c r="AA71" s="66">
        <f t="shared" si="43"/>
        <v>3423</v>
      </c>
      <c r="AB71" s="69">
        <v>1.5269999999999999</v>
      </c>
      <c r="AC71" s="66">
        <f t="shared" si="44"/>
        <v>1914589</v>
      </c>
      <c r="AD71" s="92">
        <f t="shared" si="45"/>
        <v>293728</v>
      </c>
      <c r="AE71" s="66">
        <f t="shared" si="46"/>
        <v>0</v>
      </c>
      <c r="AF71" s="66">
        <f t="shared" si="47"/>
        <v>0</v>
      </c>
      <c r="AG71" s="66"/>
      <c r="AH71" s="66">
        <f t="shared" si="48"/>
        <v>0</v>
      </c>
      <c r="AI71" s="66"/>
      <c r="AJ71" s="19">
        <f t="shared" si="49"/>
        <v>2208317</v>
      </c>
      <c r="AK71" s="29">
        <f t="shared" si="50"/>
        <v>1.1200000000000001</v>
      </c>
      <c r="AL71" s="66">
        <f t="shared" si="60"/>
        <v>196403</v>
      </c>
      <c r="AM71" s="19">
        <f t="shared" si="51"/>
        <v>0</v>
      </c>
      <c r="AN71" s="19">
        <f t="shared" si="52"/>
        <v>0</v>
      </c>
      <c r="AO71" s="19">
        <f t="shared" si="53"/>
        <v>15081</v>
      </c>
      <c r="AP71" s="19"/>
      <c r="AQ71" s="19">
        <f t="shared" si="61"/>
        <v>211484</v>
      </c>
      <c r="AR71" s="19">
        <f t="shared" si="62"/>
        <v>99835</v>
      </c>
      <c r="AS71" s="19">
        <f t="shared" si="63"/>
        <v>11950</v>
      </c>
      <c r="AT71" s="19">
        <f t="shared" si="64"/>
        <v>40299</v>
      </c>
      <c r="AU71" s="19">
        <f t="shared" si="54"/>
        <v>123725</v>
      </c>
      <c r="AV71" s="19">
        <f t="shared" si="55"/>
        <v>108108</v>
      </c>
      <c r="AW71" s="19">
        <f t="shared" si="56"/>
        <v>9192</v>
      </c>
      <c r="AX71" s="19">
        <f t="shared" si="57"/>
        <v>2812910</v>
      </c>
      <c r="AY71" s="19">
        <v>2368130</v>
      </c>
      <c r="AZ71" s="19">
        <f t="shared" si="58"/>
        <v>444780</v>
      </c>
      <c r="BB71" s="19">
        <v>99835</v>
      </c>
      <c r="BC71" s="19">
        <v>11950</v>
      </c>
      <c r="BD71" s="2"/>
      <c r="BE71" s="94">
        <v>110</v>
      </c>
      <c r="BF71" s="94">
        <v>1.0720000000000001</v>
      </c>
    </row>
    <row r="72" spans="1:58" ht="14.4" x14ac:dyDescent="0.25">
      <c r="A72" s="28" t="s">
        <v>10</v>
      </c>
      <c r="B72" s="29" t="s">
        <v>600</v>
      </c>
      <c r="C72" s="66">
        <v>496</v>
      </c>
      <c r="D72" s="66">
        <v>72</v>
      </c>
      <c r="E72" s="66">
        <v>28</v>
      </c>
      <c r="F72" s="66">
        <v>0</v>
      </c>
      <c r="G72" s="66">
        <v>8</v>
      </c>
      <c r="H72" s="66">
        <v>0</v>
      </c>
      <c r="I72" s="66">
        <v>0</v>
      </c>
      <c r="J72" s="66">
        <v>0</v>
      </c>
      <c r="K72" s="66">
        <v>1</v>
      </c>
      <c r="L72" s="29"/>
      <c r="M72" s="66">
        <v>0</v>
      </c>
      <c r="N72" s="29"/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f t="shared" si="59"/>
        <v>605</v>
      </c>
      <c r="V72" s="66">
        <v>0</v>
      </c>
      <c r="W72" s="66">
        <v>0</v>
      </c>
      <c r="X72" s="66">
        <v>0</v>
      </c>
      <c r="Y72" s="69">
        <f t="shared" si="42"/>
        <v>9.000000000000008E-2</v>
      </c>
      <c r="Z72" s="66">
        <v>2481</v>
      </c>
      <c r="AA72" s="66">
        <f t="shared" si="43"/>
        <v>3122</v>
      </c>
      <c r="AB72" s="69">
        <v>1.383</v>
      </c>
      <c r="AC72" s="66">
        <f t="shared" si="44"/>
        <v>1503642</v>
      </c>
      <c r="AD72" s="92">
        <f t="shared" si="45"/>
        <v>192896</v>
      </c>
      <c r="AE72" s="66">
        <f t="shared" si="46"/>
        <v>1162</v>
      </c>
      <c r="AF72" s="66">
        <f t="shared" si="47"/>
        <v>0</v>
      </c>
      <c r="AG72" s="66"/>
      <c r="AH72" s="66">
        <f t="shared" si="48"/>
        <v>0</v>
      </c>
      <c r="AI72" s="66"/>
      <c r="AJ72" s="19">
        <f t="shared" si="49"/>
        <v>1697700</v>
      </c>
      <c r="AK72" s="29">
        <f t="shared" si="50"/>
        <v>1.1200000000000001</v>
      </c>
      <c r="AL72" s="66">
        <f t="shared" si="60"/>
        <v>176763</v>
      </c>
      <c r="AM72" s="19">
        <f t="shared" si="51"/>
        <v>0</v>
      </c>
      <c r="AN72" s="19">
        <f t="shared" si="52"/>
        <v>0</v>
      </c>
      <c r="AO72" s="19">
        <f t="shared" si="53"/>
        <v>14204</v>
      </c>
      <c r="AP72" s="19"/>
      <c r="AQ72" s="19">
        <f t="shared" si="61"/>
        <v>190967</v>
      </c>
      <c r="AR72" s="19">
        <f t="shared" si="62"/>
        <v>85320</v>
      </c>
      <c r="AS72" s="19">
        <f t="shared" si="63"/>
        <v>10376</v>
      </c>
      <c r="AT72" s="19">
        <f t="shared" si="64"/>
        <v>34485</v>
      </c>
      <c r="AU72" s="19">
        <f t="shared" si="54"/>
        <v>105700</v>
      </c>
      <c r="AV72" s="19">
        <f t="shared" si="55"/>
        <v>71280</v>
      </c>
      <c r="AW72" s="19">
        <f t="shared" si="56"/>
        <v>7077</v>
      </c>
      <c r="AX72" s="19">
        <f t="shared" si="57"/>
        <v>2202905</v>
      </c>
      <c r="AY72" s="19">
        <v>1740343</v>
      </c>
      <c r="AZ72" s="19">
        <f t="shared" si="58"/>
        <v>462562</v>
      </c>
      <c r="BB72" s="19">
        <v>85320</v>
      </c>
      <c r="BC72" s="19">
        <v>10376</v>
      </c>
      <c r="BD72" s="2"/>
      <c r="BE72" s="94">
        <v>111</v>
      </c>
      <c r="BF72" s="94">
        <v>1.071</v>
      </c>
    </row>
    <row r="73" spans="1:58" ht="14.4" x14ac:dyDescent="0.25">
      <c r="A73" s="28" t="s">
        <v>10</v>
      </c>
      <c r="B73" s="29" t="s">
        <v>601</v>
      </c>
      <c r="C73" s="66">
        <v>1246</v>
      </c>
      <c r="D73" s="66">
        <v>0</v>
      </c>
      <c r="E73" s="66">
        <v>100</v>
      </c>
      <c r="F73" s="66">
        <v>0</v>
      </c>
      <c r="G73" s="66">
        <v>26</v>
      </c>
      <c r="H73" s="66">
        <v>3</v>
      </c>
      <c r="I73" s="66">
        <v>0</v>
      </c>
      <c r="J73" s="66">
        <v>0</v>
      </c>
      <c r="K73" s="66">
        <v>1</v>
      </c>
      <c r="L73" s="29"/>
      <c r="M73" s="66">
        <v>0</v>
      </c>
      <c r="N73" s="29"/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f t="shared" si="59"/>
        <v>1376</v>
      </c>
      <c r="V73" s="66">
        <v>0</v>
      </c>
      <c r="W73" s="66">
        <v>0</v>
      </c>
      <c r="X73" s="66">
        <v>0</v>
      </c>
      <c r="Y73" s="69">
        <f t="shared" si="42"/>
        <v>0</v>
      </c>
      <c r="Z73" s="66">
        <v>2187</v>
      </c>
      <c r="AA73" s="66">
        <f t="shared" si="43"/>
        <v>2829</v>
      </c>
      <c r="AB73" s="69">
        <v>1.171</v>
      </c>
      <c r="AC73" s="66">
        <f t="shared" si="44"/>
        <v>3198273</v>
      </c>
      <c r="AD73" s="92">
        <f t="shared" si="45"/>
        <v>692672</v>
      </c>
      <c r="AE73" s="66">
        <f t="shared" si="46"/>
        <v>1162</v>
      </c>
      <c r="AF73" s="66">
        <f t="shared" si="47"/>
        <v>0</v>
      </c>
      <c r="AG73" s="66"/>
      <c r="AH73" s="66">
        <f t="shared" si="48"/>
        <v>0</v>
      </c>
      <c r="AI73" s="66"/>
      <c r="AJ73" s="19">
        <f t="shared" si="49"/>
        <v>3892107</v>
      </c>
      <c r="AK73" s="29">
        <f t="shared" si="50"/>
        <v>1.1200000000000001</v>
      </c>
      <c r="AL73" s="66">
        <f t="shared" si="60"/>
        <v>0</v>
      </c>
      <c r="AM73" s="19">
        <f t="shared" si="51"/>
        <v>0</v>
      </c>
      <c r="AN73" s="19">
        <f t="shared" si="52"/>
        <v>0</v>
      </c>
      <c r="AO73" s="19">
        <f t="shared" si="53"/>
        <v>0</v>
      </c>
      <c r="AP73" s="19"/>
      <c r="AQ73" s="19">
        <f t="shared" si="61"/>
        <v>0</v>
      </c>
      <c r="AR73" s="19">
        <f t="shared" si="62"/>
        <v>180387</v>
      </c>
      <c r="AS73" s="19">
        <f t="shared" si="63"/>
        <v>24259</v>
      </c>
      <c r="AT73" s="19">
        <f t="shared" si="64"/>
        <v>78432</v>
      </c>
      <c r="AU73" s="19">
        <f t="shared" si="54"/>
        <v>240100</v>
      </c>
      <c r="AV73" s="19">
        <f t="shared" si="55"/>
        <v>256608</v>
      </c>
      <c r="AW73" s="19">
        <f t="shared" si="56"/>
        <v>15469</v>
      </c>
      <c r="AX73" s="19">
        <f t="shared" si="57"/>
        <v>4687362</v>
      </c>
      <c r="AY73" s="19">
        <v>3909418</v>
      </c>
      <c r="AZ73" s="19">
        <f t="shared" si="58"/>
        <v>777944</v>
      </c>
      <c r="BB73" s="19">
        <v>180387</v>
      </c>
      <c r="BC73" s="19">
        <v>24259</v>
      </c>
      <c r="BD73" s="2"/>
      <c r="BE73" s="94">
        <v>112</v>
      </c>
      <c r="BF73" s="94">
        <v>1.071</v>
      </c>
    </row>
    <row r="74" spans="1:58" ht="14.4" x14ac:dyDescent="0.25">
      <c r="A74" s="28" t="s">
        <v>6</v>
      </c>
      <c r="B74" s="29" t="s">
        <v>602</v>
      </c>
      <c r="C74" s="66">
        <v>499</v>
      </c>
      <c r="D74" s="66">
        <v>111</v>
      </c>
      <c r="E74" s="66">
        <v>34</v>
      </c>
      <c r="F74" s="66">
        <v>0</v>
      </c>
      <c r="G74" s="66">
        <v>20</v>
      </c>
      <c r="H74" s="66">
        <v>0</v>
      </c>
      <c r="I74" s="66">
        <v>0</v>
      </c>
      <c r="J74" s="66">
        <v>0</v>
      </c>
      <c r="K74" s="66">
        <v>0</v>
      </c>
      <c r="L74" s="29"/>
      <c r="M74" s="66">
        <v>0</v>
      </c>
      <c r="N74" s="29"/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f t="shared" si="59"/>
        <v>664</v>
      </c>
      <c r="V74" s="66">
        <v>0</v>
      </c>
      <c r="W74" s="66">
        <v>0</v>
      </c>
      <c r="X74" s="66">
        <v>0</v>
      </c>
      <c r="Y74" s="69">
        <f t="shared" si="42"/>
        <v>7.0999999999999952E-2</v>
      </c>
      <c r="Z74" s="66">
        <v>2746</v>
      </c>
      <c r="AA74" s="66">
        <f t="shared" si="43"/>
        <v>3403</v>
      </c>
      <c r="AB74" s="69">
        <v>1.504</v>
      </c>
      <c r="AC74" s="66">
        <f t="shared" si="44"/>
        <v>1645087</v>
      </c>
      <c r="AD74" s="92">
        <f t="shared" si="45"/>
        <v>324416</v>
      </c>
      <c r="AE74" s="66">
        <f t="shared" si="46"/>
        <v>0</v>
      </c>
      <c r="AF74" s="66">
        <f t="shared" si="47"/>
        <v>0</v>
      </c>
      <c r="AG74" s="66"/>
      <c r="AH74" s="66">
        <f t="shared" si="48"/>
        <v>0</v>
      </c>
      <c r="AI74" s="66"/>
      <c r="AJ74" s="19">
        <f t="shared" si="49"/>
        <v>1969503</v>
      </c>
      <c r="AK74" s="29">
        <f t="shared" si="50"/>
        <v>1.1200000000000001</v>
      </c>
      <c r="AL74" s="66">
        <f t="shared" si="60"/>
        <v>272509</v>
      </c>
      <c r="AM74" s="19">
        <f t="shared" si="51"/>
        <v>0</v>
      </c>
      <c r="AN74" s="19">
        <f t="shared" si="52"/>
        <v>0</v>
      </c>
      <c r="AO74" s="19">
        <f t="shared" si="53"/>
        <v>17275</v>
      </c>
      <c r="AP74" s="19"/>
      <c r="AQ74" s="19">
        <f t="shared" si="61"/>
        <v>289784</v>
      </c>
      <c r="AR74" s="19">
        <f t="shared" si="62"/>
        <v>92117</v>
      </c>
      <c r="AS74" s="19">
        <f t="shared" si="63"/>
        <v>11127</v>
      </c>
      <c r="AT74" s="19">
        <f t="shared" si="64"/>
        <v>37848</v>
      </c>
      <c r="AU74" s="19">
        <f t="shared" si="54"/>
        <v>116200</v>
      </c>
      <c r="AV74" s="19">
        <f t="shared" si="55"/>
        <v>135432</v>
      </c>
      <c r="AW74" s="19">
        <f t="shared" si="56"/>
        <v>7985</v>
      </c>
      <c r="AX74" s="19">
        <f t="shared" si="57"/>
        <v>2659996</v>
      </c>
      <c r="AY74" s="19">
        <v>2195453</v>
      </c>
      <c r="AZ74" s="19">
        <f t="shared" si="58"/>
        <v>464543</v>
      </c>
      <c r="BB74" s="19">
        <v>92117</v>
      </c>
      <c r="BC74" s="19">
        <v>11127</v>
      </c>
      <c r="BD74" s="2"/>
      <c r="BE74" s="94">
        <v>113</v>
      </c>
      <c r="BF74" s="94">
        <v>1.07</v>
      </c>
    </row>
    <row r="75" spans="1:58" ht="14.4" x14ac:dyDescent="0.25">
      <c r="A75" s="28" t="s">
        <v>6</v>
      </c>
      <c r="B75" s="29" t="s">
        <v>603</v>
      </c>
      <c r="C75" s="66">
        <v>697</v>
      </c>
      <c r="D75" s="66">
        <v>68</v>
      </c>
      <c r="E75" s="66">
        <v>49</v>
      </c>
      <c r="F75" s="66">
        <v>0</v>
      </c>
      <c r="G75" s="66">
        <v>53</v>
      </c>
      <c r="H75" s="66">
        <v>1</v>
      </c>
      <c r="I75" s="66">
        <v>0</v>
      </c>
      <c r="J75" s="66">
        <v>0</v>
      </c>
      <c r="K75" s="66">
        <v>1</v>
      </c>
      <c r="L75" s="29"/>
      <c r="M75" s="66">
        <v>0</v>
      </c>
      <c r="N75" s="29"/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f t="shared" si="59"/>
        <v>869</v>
      </c>
      <c r="V75" s="66">
        <v>0</v>
      </c>
      <c r="W75" s="66">
        <v>0</v>
      </c>
      <c r="X75" s="66">
        <v>0</v>
      </c>
      <c r="Y75" s="69">
        <f t="shared" si="42"/>
        <v>9.2000000000000082E-2</v>
      </c>
      <c r="Z75" s="66">
        <v>2952</v>
      </c>
      <c r="AA75" s="66">
        <f t="shared" si="43"/>
        <v>3711</v>
      </c>
      <c r="AB75" s="69">
        <v>1.5409999999999999</v>
      </c>
      <c r="AC75" s="66">
        <f t="shared" si="44"/>
        <v>2354377</v>
      </c>
      <c r="AD75" s="92">
        <f t="shared" si="45"/>
        <v>688288</v>
      </c>
      <c r="AE75" s="66">
        <f t="shared" si="46"/>
        <v>1162</v>
      </c>
      <c r="AF75" s="66">
        <f t="shared" si="47"/>
        <v>0</v>
      </c>
      <c r="AG75" s="66"/>
      <c r="AH75" s="66">
        <f t="shared" si="48"/>
        <v>0</v>
      </c>
      <c r="AI75" s="66"/>
      <c r="AJ75" s="19">
        <f t="shared" si="49"/>
        <v>3043827</v>
      </c>
      <c r="AK75" s="29">
        <f t="shared" si="50"/>
        <v>1.1200000000000001</v>
      </c>
      <c r="AL75" s="66">
        <f t="shared" si="60"/>
        <v>166943</v>
      </c>
      <c r="AM75" s="19">
        <f t="shared" si="51"/>
        <v>0</v>
      </c>
      <c r="AN75" s="19">
        <f t="shared" si="52"/>
        <v>0</v>
      </c>
      <c r="AO75" s="19">
        <f t="shared" si="53"/>
        <v>13713</v>
      </c>
      <c r="AP75" s="19"/>
      <c r="AQ75" s="19">
        <f t="shared" si="61"/>
        <v>180656</v>
      </c>
      <c r="AR75" s="19">
        <f t="shared" si="62"/>
        <v>129817</v>
      </c>
      <c r="AS75" s="19">
        <f t="shared" si="63"/>
        <v>12907</v>
      </c>
      <c r="AT75" s="19">
        <f t="shared" si="64"/>
        <v>49533</v>
      </c>
      <c r="AU75" s="19">
        <f t="shared" si="54"/>
        <v>151725</v>
      </c>
      <c r="AV75" s="19">
        <f t="shared" si="55"/>
        <v>314820</v>
      </c>
      <c r="AW75" s="19">
        <f t="shared" si="56"/>
        <v>11850</v>
      </c>
      <c r="AX75" s="19">
        <f t="shared" si="57"/>
        <v>3895135</v>
      </c>
      <c r="AY75" s="19">
        <v>3077014</v>
      </c>
      <c r="AZ75" s="19">
        <f t="shared" si="58"/>
        <v>818121</v>
      </c>
      <c r="BB75" s="19">
        <v>129817</v>
      </c>
      <c r="BC75" s="19">
        <v>12907</v>
      </c>
      <c r="BD75" s="2"/>
      <c r="BE75" s="94">
        <v>114</v>
      </c>
      <c r="BF75" s="94">
        <v>1.07</v>
      </c>
    </row>
    <row r="76" spans="1:58" ht="14.4" x14ac:dyDescent="0.25">
      <c r="A76" s="28" t="s">
        <v>6</v>
      </c>
      <c r="B76" s="29" t="s">
        <v>117</v>
      </c>
      <c r="C76" s="66">
        <v>843</v>
      </c>
      <c r="D76" s="66">
        <v>35</v>
      </c>
      <c r="E76" s="66">
        <v>60</v>
      </c>
      <c r="F76" s="66">
        <v>0</v>
      </c>
      <c r="G76" s="66">
        <v>20</v>
      </c>
      <c r="H76" s="66">
        <v>1</v>
      </c>
      <c r="I76" s="66">
        <v>0</v>
      </c>
      <c r="J76" s="66">
        <v>0</v>
      </c>
      <c r="K76" s="66">
        <v>0</v>
      </c>
      <c r="L76" s="29"/>
      <c r="M76" s="66">
        <v>0</v>
      </c>
      <c r="N76" s="29"/>
      <c r="O76" s="66">
        <v>0</v>
      </c>
      <c r="P76" s="66">
        <v>0</v>
      </c>
      <c r="Q76" s="66">
        <v>1</v>
      </c>
      <c r="R76" s="66">
        <v>0</v>
      </c>
      <c r="S76" s="66">
        <v>0</v>
      </c>
      <c r="T76" s="66">
        <v>0</v>
      </c>
      <c r="U76" s="66">
        <f t="shared" si="59"/>
        <v>960</v>
      </c>
      <c r="V76" s="66">
        <v>0</v>
      </c>
      <c r="W76" s="66">
        <v>0</v>
      </c>
      <c r="X76" s="66">
        <v>0</v>
      </c>
      <c r="Y76" s="69">
        <f t="shared" si="42"/>
        <v>0</v>
      </c>
      <c r="Z76" s="66">
        <v>2976</v>
      </c>
      <c r="AA76" s="66">
        <f t="shared" si="43"/>
        <v>3695</v>
      </c>
      <c r="AB76" s="69">
        <v>1.63</v>
      </c>
      <c r="AC76" s="66">
        <f t="shared" si="44"/>
        <v>3012005</v>
      </c>
      <c r="AD76" s="92">
        <f t="shared" si="45"/>
        <v>447168</v>
      </c>
      <c r="AE76" s="66">
        <f t="shared" si="46"/>
        <v>0</v>
      </c>
      <c r="AF76" s="66">
        <f t="shared" si="47"/>
        <v>0</v>
      </c>
      <c r="AG76" s="66"/>
      <c r="AH76" s="66">
        <f t="shared" si="48"/>
        <v>0</v>
      </c>
      <c r="AI76" s="66"/>
      <c r="AJ76" s="19">
        <f t="shared" si="49"/>
        <v>3459173</v>
      </c>
      <c r="AK76" s="29">
        <f t="shared" si="50"/>
        <v>1.1200000000000001</v>
      </c>
      <c r="AL76" s="66">
        <f t="shared" si="60"/>
        <v>85926</v>
      </c>
      <c r="AM76" s="19">
        <f t="shared" si="51"/>
        <v>0</v>
      </c>
      <c r="AN76" s="19">
        <f t="shared" si="52"/>
        <v>1885</v>
      </c>
      <c r="AO76" s="19">
        <f t="shared" si="53"/>
        <v>0</v>
      </c>
      <c r="AP76" s="19"/>
      <c r="AQ76" s="19">
        <f t="shared" si="61"/>
        <v>87811</v>
      </c>
      <c r="AR76" s="19">
        <f t="shared" si="62"/>
        <v>151266</v>
      </c>
      <c r="AS76" s="19">
        <f t="shared" si="63"/>
        <v>17974</v>
      </c>
      <c r="AT76" s="19">
        <f t="shared" si="64"/>
        <v>54720</v>
      </c>
      <c r="AU76" s="19">
        <f t="shared" si="54"/>
        <v>167650</v>
      </c>
      <c r="AV76" s="19">
        <f t="shared" si="55"/>
        <v>171072</v>
      </c>
      <c r="AW76" s="19">
        <f t="shared" si="56"/>
        <v>14459</v>
      </c>
      <c r="AX76" s="19">
        <f t="shared" si="57"/>
        <v>4124125</v>
      </c>
      <c r="AY76" s="19">
        <v>3366131</v>
      </c>
      <c r="AZ76" s="19">
        <f t="shared" si="58"/>
        <v>757994</v>
      </c>
      <c r="BB76" s="19">
        <v>151266</v>
      </c>
      <c r="BC76" s="19">
        <v>17974</v>
      </c>
      <c r="BD76" s="2"/>
      <c r="BE76" s="94">
        <v>115</v>
      </c>
      <c r="BF76" s="94">
        <v>1.069</v>
      </c>
    </row>
    <row r="77" spans="1:58" ht="14.4" x14ac:dyDescent="0.25">
      <c r="A77" s="28" t="s">
        <v>6</v>
      </c>
      <c r="B77" s="29" t="s">
        <v>5</v>
      </c>
      <c r="C77" s="66">
        <v>1861</v>
      </c>
      <c r="D77" s="66">
        <v>0</v>
      </c>
      <c r="E77" s="66">
        <v>77</v>
      </c>
      <c r="F77" s="66">
        <v>0</v>
      </c>
      <c r="G77" s="66">
        <v>62</v>
      </c>
      <c r="H77" s="66">
        <v>3</v>
      </c>
      <c r="I77" s="66">
        <v>0</v>
      </c>
      <c r="J77" s="66">
        <v>0</v>
      </c>
      <c r="K77" s="66">
        <v>4</v>
      </c>
      <c r="L77" s="29"/>
      <c r="M77" s="66">
        <v>40</v>
      </c>
      <c r="N77" s="29"/>
      <c r="O77" s="66">
        <v>1</v>
      </c>
      <c r="P77" s="66">
        <v>2</v>
      </c>
      <c r="Q77" s="66">
        <v>338</v>
      </c>
      <c r="R77" s="66">
        <v>1</v>
      </c>
      <c r="S77" s="66">
        <v>1</v>
      </c>
      <c r="T77" s="66">
        <v>14</v>
      </c>
      <c r="U77" s="66">
        <f t="shared" si="59"/>
        <v>2388</v>
      </c>
      <c r="V77" s="66">
        <v>1</v>
      </c>
      <c r="W77" s="66">
        <v>3</v>
      </c>
      <c r="X77" s="66">
        <v>1</v>
      </c>
      <c r="Y77" s="69">
        <f t="shared" si="42"/>
        <v>0</v>
      </c>
      <c r="Z77" s="66">
        <v>1940</v>
      </c>
      <c r="AA77" s="66">
        <f t="shared" si="43"/>
        <v>2395</v>
      </c>
      <c r="AB77" s="69">
        <v>1</v>
      </c>
      <c r="AC77" s="66">
        <f t="shared" si="44"/>
        <v>4079312</v>
      </c>
      <c r="AD77" s="92">
        <f t="shared" si="45"/>
        <v>907488</v>
      </c>
      <c r="AE77" s="66">
        <f t="shared" si="46"/>
        <v>4647</v>
      </c>
      <c r="AF77" s="66">
        <f t="shared" si="47"/>
        <v>87943</v>
      </c>
      <c r="AG77" s="66"/>
      <c r="AH77" s="66">
        <f t="shared" si="48"/>
        <v>0</v>
      </c>
      <c r="AI77" s="66"/>
      <c r="AJ77" s="19">
        <f t="shared" si="49"/>
        <v>5079390</v>
      </c>
      <c r="AK77" s="29">
        <f t="shared" si="50"/>
        <v>1.1200000000000001</v>
      </c>
      <c r="AL77" s="66">
        <f t="shared" si="60"/>
        <v>0</v>
      </c>
      <c r="AM77" s="19">
        <f t="shared" si="51"/>
        <v>0</v>
      </c>
      <c r="AN77" s="19">
        <f t="shared" si="52"/>
        <v>640042</v>
      </c>
      <c r="AO77" s="19">
        <f t="shared" si="53"/>
        <v>0</v>
      </c>
      <c r="AP77" s="19"/>
      <c r="AQ77" s="19">
        <f t="shared" si="61"/>
        <v>640042</v>
      </c>
      <c r="AR77" s="19">
        <f t="shared" si="62"/>
        <v>219696</v>
      </c>
      <c r="AS77" s="19">
        <f t="shared" si="63"/>
        <v>28656</v>
      </c>
      <c r="AT77" s="19">
        <f t="shared" si="64"/>
        <v>135979</v>
      </c>
      <c r="AU77" s="19">
        <f t="shared" si="54"/>
        <v>350000</v>
      </c>
      <c r="AV77" s="19">
        <f t="shared" si="55"/>
        <v>410573</v>
      </c>
      <c r="AW77" s="19">
        <f t="shared" si="56"/>
        <v>19268</v>
      </c>
      <c r="AX77" s="19">
        <f t="shared" si="57"/>
        <v>6883604</v>
      </c>
      <c r="AY77" s="19">
        <v>5473035</v>
      </c>
      <c r="AZ77" s="19">
        <f t="shared" si="58"/>
        <v>1410569</v>
      </c>
      <c r="BB77" s="19">
        <v>185536</v>
      </c>
      <c r="BC77" s="19">
        <v>25541</v>
      </c>
      <c r="BD77" s="2"/>
      <c r="BE77" s="94">
        <v>116</v>
      </c>
      <c r="BF77" s="94">
        <v>1.069</v>
      </c>
    </row>
    <row r="78" spans="1:58" ht="14.4" x14ac:dyDescent="0.25">
      <c r="A78" s="28" t="s">
        <v>1</v>
      </c>
      <c r="B78" s="29" t="s">
        <v>114</v>
      </c>
      <c r="C78" s="66">
        <v>302</v>
      </c>
      <c r="D78" s="66">
        <v>69</v>
      </c>
      <c r="E78" s="66">
        <v>36</v>
      </c>
      <c r="F78" s="66">
        <v>1</v>
      </c>
      <c r="G78" s="66">
        <v>13</v>
      </c>
      <c r="H78" s="66">
        <v>0</v>
      </c>
      <c r="I78" s="66">
        <v>0</v>
      </c>
      <c r="J78" s="66">
        <v>0</v>
      </c>
      <c r="K78" s="66">
        <v>0</v>
      </c>
      <c r="L78" s="29"/>
      <c r="M78" s="66">
        <v>0</v>
      </c>
      <c r="N78" s="29"/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f t="shared" si="59"/>
        <v>421</v>
      </c>
      <c r="V78" s="66">
        <v>0</v>
      </c>
      <c r="W78" s="66">
        <v>0</v>
      </c>
      <c r="X78" s="66">
        <v>0</v>
      </c>
      <c r="Y78" s="69">
        <f t="shared" si="42"/>
        <v>9.099999999999997E-2</v>
      </c>
      <c r="Z78" s="66">
        <v>2812</v>
      </c>
      <c r="AA78" s="66">
        <f t="shared" si="43"/>
        <v>3508</v>
      </c>
      <c r="AB78" s="69">
        <v>1.5349999999999999</v>
      </c>
      <c r="AC78" s="66">
        <f t="shared" si="44"/>
        <v>1016145</v>
      </c>
      <c r="AD78" s="92">
        <f t="shared" si="45"/>
        <v>271808</v>
      </c>
      <c r="AE78" s="66">
        <f t="shared" si="46"/>
        <v>0</v>
      </c>
      <c r="AF78" s="66">
        <f t="shared" si="47"/>
        <v>0</v>
      </c>
      <c r="AG78" s="66"/>
      <c r="AH78" s="66">
        <f t="shared" si="48"/>
        <v>0</v>
      </c>
      <c r="AI78" s="66"/>
      <c r="AJ78" s="19">
        <f t="shared" si="49"/>
        <v>1287953</v>
      </c>
      <c r="AK78" s="29">
        <f t="shared" si="50"/>
        <v>1.1200000000000001</v>
      </c>
      <c r="AL78" s="66">
        <f t="shared" si="60"/>
        <v>169398</v>
      </c>
      <c r="AM78" s="19">
        <f t="shared" si="51"/>
        <v>5918</v>
      </c>
      <c r="AN78" s="19">
        <f t="shared" si="52"/>
        <v>0</v>
      </c>
      <c r="AO78" s="19">
        <f t="shared" si="53"/>
        <v>13764</v>
      </c>
      <c r="AP78" s="19"/>
      <c r="AQ78" s="19">
        <f t="shared" si="61"/>
        <v>189080</v>
      </c>
      <c r="AR78" s="19">
        <f t="shared" si="62"/>
        <v>54711</v>
      </c>
      <c r="AS78" s="19">
        <f t="shared" si="63"/>
        <v>7196</v>
      </c>
      <c r="AT78" s="19">
        <f t="shared" si="64"/>
        <v>23997</v>
      </c>
      <c r="AU78" s="19">
        <f t="shared" si="54"/>
        <v>73675</v>
      </c>
      <c r="AV78" s="19">
        <f t="shared" si="55"/>
        <v>106564</v>
      </c>
      <c r="AW78" s="19">
        <f t="shared" si="56"/>
        <v>5173</v>
      </c>
      <c r="AX78" s="19">
        <f t="shared" si="57"/>
        <v>1748349</v>
      </c>
      <c r="AY78" s="19">
        <v>1431970</v>
      </c>
      <c r="AZ78" s="19">
        <f t="shared" si="58"/>
        <v>316379</v>
      </c>
      <c r="BB78" s="19">
        <v>54711</v>
      </c>
      <c r="BC78" s="19">
        <v>7196</v>
      </c>
      <c r="BD78" s="2"/>
      <c r="BE78" s="94">
        <v>117</v>
      </c>
      <c r="BF78" s="94">
        <v>1.0680000000000001</v>
      </c>
    </row>
    <row r="79" spans="1:58" ht="14.4" x14ac:dyDescent="0.25">
      <c r="A79" s="28" t="s">
        <v>1</v>
      </c>
      <c r="B79" s="29" t="s">
        <v>102</v>
      </c>
      <c r="C79" s="66">
        <v>288</v>
      </c>
      <c r="D79" s="66">
        <v>0</v>
      </c>
      <c r="E79" s="66">
        <v>40</v>
      </c>
      <c r="F79" s="66">
        <v>0</v>
      </c>
      <c r="G79" s="66">
        <v>9</v>
      </c>
      <c r="H79" s="66">
        <v>1</v>
      </c>
      <c r="I79" s="66">
        <v>0</v>
      </c>
      <c r="J79" s="66">
        <v>0</v>
      </c>
      <c r="K79" s="66">
        <v>1</v>
      </c>
      <c r="L79" s="29"/>
      <c r="M79" s="66">
        <v>0</v>
      </c>
      <c r="N79" s="29"/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f t="shared" si="59"/>
        <v>339</v>
      </c>
      <c r="V79" s="66">
        <v>0</v>
      </c>
      <c r="W79" s="66">
        <v>0</v>
      </c>
      <c r="X79" s="66">
        <v>0</v>
      </c>
      <c r="Y79" s="69">
        <f t="shared" si="42"/>
        <v>0</v>
      </c>
      <c r="Z79" s="66">
        <v>3115</v>
      </c>
      <c r="AA79" s="66">
        <f t="shared" si="43"/>
        <v>3837</v>
      </c>
      <c r="AB79" s="69">
        <v>1.6419999999999999</v>
      </c>
      <c r="AC79" s="66">
        <f t="shared" si="44"/>
        <v>1036588</v>
      </c>
      <c r="AD79" s="92">
        <f t="shared" si="45"/>
        <v>263040</v>
      </c>
      <c r="AE79" s="66">
        <f t="shared" si="46"/>
        <v>1162</v>
      </c>
      <c r="AF79" s="66">
        <f t="shared" si="47"/>
        <v>0</v>
      </c>
      <c r="AG79" s="66"/>
      <c r="AH79" s="66">
        <f t="shared" si="48"/>
        <v>0</v>
      </c>
      <c r="AI79" s="66"/>
      <c r="AJ79" s="19">
        <f t="shared" si="49"/>
        <v>1300790</v>
      </c>
      <c r="AK79" s="29">
        <f t="shared" si="50"/>
        <v>1.1200000000000001</v>
      </c>
      <c r="AL79" s="66">
        <f t="shared" si="60"/>
        <v>0</v>
      </c>
      <c r="AM79" s="19">
        <f t="shared" si="51"/>
        <v>0</v>
      </c>
      <c r="AN79" s="19">
        <f t="shared" si="52"/>
        <v>0</v>
      </c>
      <c r="AO79" s="19">
        <f t="shared" si="53"/>
        <v>0</v>
      </c>
      <c r="AP79" s="19"/>
      <c r="AQ79" s="19">
        <f t="shared" si="61"/>
        <v>0</v>
      </c>
      <c r="AR79" s="19">
        <f t="shared" si="62"/>
        <v>98943</v>
      </c>
      <c r="AS79" s="19">
        <f t="shared" si="63"/>
        <v>10389</v>
      </c>
      <c r="AT79" s="19">
        <f t="shared" si="64"/>
        <v>19323</v>
      </c>
      <c r="AU79" s="19">
        <f t="shared" si="54"/>
        <v>58975</v>
      </c>
      <c r="AV79" s="19">
        <f t="shared" si="55"/>
        <v>95040</v>
      </c>
      <c r="AW79" s="19">
        <f t="shared" si="56"/>
        <v>5344</v>
      </c>
      <c r="AX79" s="19">
        <f t="shared" si="57"/>
        <v>1588804</v>
      </c>
      <c r="AY79" s="19">
        <v>1333971</v>
      </c>
      <c r="AZ79" s="19">
        <f t="shared" si="58"/>
        <v>254833</v>
      </c>
      <c r="BB79" s="19">
        <v>98943</v>
      </c>
      <c r="BC79" s="19">
        <v>10389</v>
      </c>
      <c r="BD79" s="2"/>
      <c r="BE79" s="94">
        <v>118</v>
      </c>
      <c r="BF79" s="94">
        <v>1.0680000000000001</v>
      </c>
    </row>
    <row r="80" spans="1:58" ht="14.4" x14ac:dyDescent="0.25">
      <c r="A80" s="28" t="s">
        <v>1</v>
      </c>
      <c r="B80" s="29" t="s">
        <v>604</v>
      </c>
      <c r="C80" s="66">
        <v>171</v>
      </c>
      <c r="D80" s="66">
        <v>30</v>
      </c>
      <c r="E80" s="66">
        <v>13</v>
      </c>
      <c r="F80" s="66">
        <v>0</v>
      </c>
      <c r="G80" s="66">
        <v>3</v>
      </c>
      <c r="H80" s="66">
        <v>0</v>
      </c>
      <c r="I80" s="66">
        <v>0</v>
      </c>
      <c r="J80" s="66">
        <v>0</v>
      </c>
      <c r="K80" s="66">
        <v>0</v>
      </c>
      <c r="L80" s="29"/>
      <c r="M80" s="66">
        <v>0</v>
      </c>
      <c r="N80" s="29"/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f t="shared" si="59"/>
        <v>217</v>
      </c>
      <c r="V80" s="66">
        <v>0</v>
      </c>
      <c r="W80" s="66">
        <v>0</v>
      </c>
      <c r="X80" s="66">
        <v>0</v>
      </c>
      <c r="Y80" s="69">
        <f t="shared" si="42"/>
        <v>0</v>
      </c>
      <c r="Z80" s="66">
        <v>3369</v>
      </c>
      <c r="AA80" s="66">
        <f t="shared" si="43"/>
        <v>4149</v>
      </c>
      <c r="AB80" s="69">
        <v>1.9830000000000001</v>
      </c>
      <c r="AC80" s="66">
        <f t="shared" si="44"/>
        <v>743292</v>
      </c>
      <c r="AD80" s="92">
        <f t="shared" si="45"/>
        <v>83296</v>
      </c>
      <c r="AE80" s="66">
        <f t="shared" si="46"/>
        <v>0</v>
      </c>
      <c r="AF80" s="66">
        <f t="shared" si="47"/>
        <v>0</v>
      </c>
      <c r="AG80" s="66"/>
      <c r="AH80" s="66">
        <f t="shared" si="48"/>
        <v>0</v>
      </c>
      <c r="AI80" s="66"/>
      <c r="AJ80" s="19">
        <f t="shared" si="49"/>
        <v>826588</v>
      </c>
      <c r="AK80" s="29">
        <f t="shared" si="50"/>
        <v>1.1200000000000001</v>
      </c>
      <c r="AL80" s="66">
        <f t="shared" si="60"/>
        <v>73651</v>
      </c>
      <c r="AM80" s="19">
        <f t="shared" si="51"/>
        <v>0</v>
      </c>
      <c r="AN80" s="19">
        <f t="shared" si="52"/>
        <v>0</v>
      </c>
      <c r="AO80" s="19">
        <f t="shared" si="53"/>
        <v>0</v>
      </c>
      <c r="AP80" s="19"/>
      <c r="AQ80" s="19">
        <f t="shared" si="61"/>
        <v>73651</v>
      </c>
      <c r="AR80" s="19">
        <f t="shared" si="62"/>
        <v>42320</v>
      </c>
      <c r="AS80" s="19">
        <f t="shared" si="63"/>
        <v>4216</v>
      </c>
      <c r="AT80" s="19">
        <f t="shared" si="64"/>
        <v>12369</v>
      </c>
      <c r="AU80" s="19">
        <f t="shared" si="54"/>
        <v>37975</v>
      </c>
      <c r="AV80" s="19">
        <f t="shared" si="55"/>
        <v>29700</v>
      </c>
      <c r="AW80" s="19">
        <f t="shared" si="56"/>
        <v>3560</v>
      </c>
      <c r="AX80" s="19">
        <f t="shared" si="57"/>
        <v>1030379</v>
      </c>
      <c r="AY80" s="19">
        <v>820510</v>
      </c>
      <c r="AZ80" s="19">
        <f t="shared" si="58"/>
        <v>209869</v>
      </c>
      <c r="BB80" s="19">
        <v>42320</v>
      </c>
      <c r="BC80" s="19">
        <v>4216</v>
      </c>
      <c r="BD80" s="2"/>
      <c r="BE80" s="94">
        <v>119</v>
      </c>
      <c r="BF80" s="94">
        <v>1.0669999999999999</v>
      </c>
    </row>
    <row r="81" spans="1:58" ht="14.4" x14ac:dyDescent="0.25">
      <c r="A81" s="28" t="s">
        <v>1</v>
      </c>
      <c r="B81" s="29" t="s">
        <v>92</v>
      </c>
      <c r="C81" s="66">
        <v>785</v>
      </c>
      <c r="D81" s="66">
        <v>154</v>
      </c>
      <c r="E81" s="66">
        <v>120</v>
      </c>
      <c r="F81" s="66">
        <v>0</v>
      </c>
      <c r="G81" s="66">
        <v>16</v>
      </c>
      <c r="H81" s="66">
        <v>0</v>
      </c>
      <c r="I81" s="66">
        <v>0</v>
      </c>
      <c r="J81" s="66">
        <v>0</v>
      </c>
      <c r="K81" s="66">
        <v>1</v>
      </c>
      <c r="L81" s="29"/>
      <c r="M81" s="66">
        <v>0</v>
      </c>
      <c r="N81" s="29"/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f t="shared" si="59"/>
        <v>1076</v>
      </c>
      <c r="V81" s="66">
        <v>0</v>
      </c>
      <c r="W81" s="66">
        <v>0</v>
      </c>
      <c r="X81" s="66">
        <v>0</v>
      </c>
      <c r="Y81" s="69">
        <f t="shared" si="42"/>
        <v>5.0999999999999934E-2</v>
      </c>
      <c r="Z81" s="66">
        <v>2654</v>
      </c>
      <c r="AA81" s="66">
        <f t="shared" si="43"/>
        <v>3303</v>
      </c>
      <c r="AB81" s="69">
        <v>1.448</v>
      </c>
      <c r="AC81" s="66">
        <f t="shared" si="44"/>
        <v>2491603</v>
      </c>
      <c r="AD81" s="92">
        <f t="shared" si="45"/>
        <v>666368</v>
      </c>
      <c r="AE81" s="66">
        <f t="shared" si="46"/>
        <v>1162</v>
      </c>
      <c r="AF81" s="66">
        <f t="shared" si="47"/>
        <v>0</v>
      </c>
      <c r="AG81" s="66"/>
      <c r="AH81" s="66">
        <f t="shared" si="48"/>
        <v>0</v>
      </c>
      <c r="AI81" s="66"/>
      <c r="AJ81" s="19">
        <f t="shared" si="49"/>
        <v>3159133</v>
      </c>
      <c r="AK81" s="29">
        <f t="shared" si="50"/>
        <v>1.1200000000000001</v>
      </c>
      <c r="AL81" s="66">
        <f t="shared" si="60"/>
        <v>378076</v>
      </c>
      <c r="AM81" s="19">
        <f t="shared" si="51"/>
        <v>0</v>
      </c>
      <c r="AN81" s="19">
        <f t="shared" si="52"/>
        <v>0</v>
      </c>
      <c r="AO81" s="19">
        <f t="shared" si="53"/>
        <v>17216</v>
      </c>
      <c r="AP81" s="19"/>
      <c r="AQ81" s="19">
        <f t="shared" si="61"/>
        <v>395292</v>
      </c>
      <c r="AR81" s="19">
        <f t="shared" si="62"/>
        <v>158630</v>
      </c>
      <c r="AS81" s="19">
        <f t="shared" si="63"/>
        <v>18078</v>
      </c>
      <c r="AT81" s="19">
        <f t="shared" si="64"/>
        <v>61332</v>
      </c>
      <c r="AU81" s="19">
        <f t="shared" si="54"/>
        <v>188125</v>
      </c>
      <c r="AV81" s="19">
        <f t="shared" si="55"/>
        <v>218592</v>
      </c>
      <c r="AW81" s="19">
        <f t="shared" si="56"/>
        <v>12817</v>
      </c>
      <c r="AX81" s="19">
        <f t="shared" si="57"/>
        <v>4211999</v>
      </c>
      <c r="AY81" s="19">
        <v>3519796</v>
      </c>
      <c r="AZ81" s="19">
        <f t="shared" si="58"/>
        <v>692203</v>
      </c>
      <c r="BB81" s="19">
        <v>158630</v>
      </c>
      <c r="BC81" s="19">
        <v>18078</v>
      </c>
      <c r="BD81" s="2"/>
      <c r="BE81" s="94">
        <v>120</v>
      </c>
      <c r="BF81" s="94">
        <v>1.0669999999999999</v>
      </c>
    </row>
    <row r="82" spans="1:58" ht="14.4" x14ac:dyDescent="0.25">
      <c r="A82" s="28" t="s">
        <v>1</v>
      </c>
      <c r="B82" s="29" t="s">
        <v>0</v>
      </c>
      <c r="C82" s="66">
        <v>1071</v>
      </c>
      <c r="D82" s="66">
        <v>0</v>
      </c>
      <c r="E82" s="66">
        <v>89</v>
      </c>
      <c r="F82" s="66">
        <v>0</v>
      </c>
      <c r="G82" s="66">
        <v>42</v>
      </c>
      <c r="H82" s="66">
        <v>1</v>
      </c>
      <c r="I82" s="66">
        <v>0</v>
      </c>
      <c r="J82" s="66">
        <v>0</v>
      </c>
      <c r="K82" s="66">
        <v>1</v>
      </c>
      <c r="L82" s="29"/>
      <c r="M82" s="66">
        <v>0</v>
      </c>
      <c r="N82" s="29"/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f t="shared" si="59"/>
        <v>1204</v>
      </c>
      <c r="V82" s="66">
        <v>0</v>
      </c>
      <c r="W82" s="66">
        <v>0</v>
      </c>
      <c r="X82" s="66">
        <v>0</v>
      </c>
      <c r="Y82" s="69">
        <f t="shared" si="42"/>
        <v>0</v>
      </c>
      <c r="Z82" s="66">
        <v>2098</v>
      </c>
      <c r="AA82" s="66">
        <f t="shared" si="43"/>
        <v>2588</v>
      </c>
      <c r="AB82" s="69">
        <v>1</v>
      </c>
      <c r="AC82" s="66">
        <f t="shared" si="44"/>
        <v>2347632</v>
      </c>
      <c r="AD82" s="92">
        <f t="shared" si="45"/>
        <v>767200</v>
      </c>
      <c r="AE82" s="66">
        <f t="shared" si="46"/>
        <v>1162</v>
      </c>
      <c r="AF82" s="66">
        <f t="shared" si="47"/>
        <v>0</v>
      </c>
      <c r="AG82" s="66"/>
      <c r="AH82" s="66">
        <f t="shared" si="48"/>
        <v>0</v>
      </c>
      <c r="AI82" s="66"/>
      <c r="AJ82" s="19">
        <f t="shared" si="49"/>
        <v>3115994</v>
      </c>
      <c r="AK82" s="29">
        <f t="shared" si="50"/>
        <v>1.1200000000000001</v>
      </c>
      <c r="AL82" s="66">
        <f t="shared" si="60"/>
        <v>0</v>
      </c>
      <c r="AM82" s="19">
        <f t="shared" si="51"/>
        <v>0</v>
      </c>
      <c r="AN82" s="19">
        <f t="shared" si="52"/>
        <v>0</v>
      </c>
      <c r="AO82" s="19">
        <f t="shared" si="53"/>
        <v>0</v>
      </c>
      <c r="AP82" s="19"/>
      <c r="AQ82" s="19">
        <f t="shared" si="61"/>
        <v>0</v>
      </c>
      <c r="AR82" s="19">
        <f t="shared" si="62"/>
        <v>148423</v>
      </c>
      <c r="AS82" s="19">
        <f t="shared" si="63"/>
        <v>21045</v>
      </c>
      <c r="AT82" s="19">
        <f t="shared" si="64"/>
        <v>68628</v>
      </c>
      <c r="AU82" s="19">
        <f t="shared" si="54"/>
        <v>210350</v>
      </c>
      <c r="AV82" s="19">
        <f t="shared" si="55"/>
        <v>310068</v>
      </c>
      <c r="AW82" s="19">
        <f t="shared" si="56"/>
        <v>11559</v>
      </c>
      <c r="AX82" s="19">
        <f t="shared" si="57"/>
        <v>3886067</v>
      </c>
      <c r="AY82" s="19">
        <v>3259526</v>
      </c>
      <c r="AZ82" s="19">
        <f t="shared" si="58"/>
        <v>626541</v>
      </c>
      <c r="BB82" s="19">
        <v>148423</v>
      </c>
      <c r="BC82" s="19">
        <v>21045</v>
      </c>
      <c r="BD82" s="2"/>
      <c r="BE82" s="94">
        <v>121</v>
      </c>
      <c r="BF82" s="94">
        <v>1.0669999999999999</v>
      </c>
    </row>
    <row r="83" spans="1:58" ht="14.4" x14ac:dyDescent="0.25">
      <c r="A83" s="65" t="s">
        <v>512</v>
      </c>
      <c r="B83" s="65"/>
      <c r="C83" s="67">
        <f>SUM(C4:C82)</f>
        <v>115725</v>
      </c>
      <c r="D83" s="67">
        <f>SUM(D4:D82)</f>
        <v>16567</v>
      </c>
      <c r="E83" s="67">
        <f t="shared" ref="E83:M83" si="65">SUM(E4:E82)</f>
        <v>6126</v>
      </c>
      <c r="F83" s="67">
        <f t="shared" si="65"/>
        <v>54</v>
      </c>
      <c r="G83" s="67">
        <f t="shared" si="65"/>
        <v>3194</v>
      </c>
      <c r="H83" s="67">
        <f t="shared" si="65"/>
        <v>108</v>
      </c>
      <c r="I83" s="67">
        <f t="shared" si="65"/>
        <v>34</v>
      </c>
      <c r="J83" s="67">
        <f t="shared" si="65"/>
        <v>2</v>
      </c>
      <c r="K83" s="67">
        <f t="shared" si="65"/>
        <v>324</v>
      </c>
      <c r="L83" s="67">
        <f t="shared" si="65"/>
        <v>0</v>
      </c>
      <c r="M83" s="67">
        <f t="shared" si="65"/>
        <v>289</v>
      </c>
      <c r="N83" s="67">
        <f t="shared" ref="N83" si="66">SUM(N4:N82)</f>
        <v>0</v>
      </c>
      <c r="O83" s="67">
        <f t="shared" ref="O83" si="67">SUM(O4:O82)</f>
        <v>3</v>
      </c>
      <c r="P83" s="67">
        <f t="shared" ref="P83" si="68">SUM(P4:P82)</f>
        <v>5</v>
      </c>
      <c r="Q83" s="67">
        <f t="shared" ref="Q83" si="69">SUM(Q4:Q82)</f>
        <v>3355</v>
      </c>
      <c r="R83" s="67">
        <f t="shared" ref="R83" si="70">SUM(R4:R82)</f>
        <v>128</v>
      </c>
      <c r="S83" s="67">
        <f t="shared" ref="S83" si="71">SUM(S4:S82)</f>
        <v>494</v>
      </c>
      <c r="T83" s="67">
        <f t="shared" ref="T83" si="72">SUM(T4:T82)</f>
        <v>2093</v>
      </c>
      <c r="U83" s="67">
        <f t="shared" ref="U83" si="73">SUM(U4:U82)</f>
        <v>146403</v>
      </c>
      <c r="V83" s="67">
        <f t="shared" ref="V83" si="74">SUM(V4:V82)</f>
        <v>12</v>
      </c>
      <c r="W83" s="67">
        <f t="shared" ref="W83" si="75">SUM(W4:W82)</f>
        <v>6</v>
      </c>
      <c r="X83" s="67">
        <f t="shared" ref="X83" si="76">SUM(X4:X82)</f>
        <v>10</v>
      </c>
      <c r="Z83" s="66">
        <v>2158</v>
      </c>
      <c r="AA83" s="67">
        <f>(SUM(AC83:AG83)+AQ83)/U83</f>
        <v>2684.6654713359699</v>
      </c>
      <c r="AB83" s="67"/>
      <c r="AC83" s="67">
        <f>SUM(AC4:AC82)</f>
        <v>290238854</v>
      </c>
      <c r="AD83" s="67">
        <f t="shared" ref="AD83:AJ83" si="77">SUM(AD4:AD82)</f>
        <v>55808320</v>
      </c>
      <c r="AE83" s="67">
        <f t="shared" si="77"/>
        <v>376417</v>
      </c>
      <c r="AF83" s="67">
        <f t="shared" si="77"/>
        <v>634146</v>
      </c>
      <c r="AG83" s="67">
        <f t="shared" si="77"/>
        <v>271094</v>
      </c>
      <c r="AH83" s="67">
        <f t="shared" si="77"/>
        <v>0</v>
      </c>
      <c r="AI83" s="67">
        <f t="shared" ref="AI83" si="78">SUM(AI4:AI82)</f>
        <v>0</v>
      </c>
      <c r="AJ83" s="67">
        <f t="shared" si="77"/>
        <v>347328831</v>
      </c>
      <c r="AK83" s="58"/>
      <c r="AL83" s="67">
        <f>SUM(AL4:AL82)</f>
        <v>37620330</v>
      </c>
      <c r="AM83" s="67">
        <f>SUM(AM4:AM82)</f>
        <v>635241</v>
      </c>
      <c r="AN83" s="67">
        <f t="shared" ref="AN83:AQ83" si="79">SUM(AN4:AN82)</f>
        <v>6738316</v>
      </c>
      <c r="AO83" s="67">
        <f t="shared" si="79"/>
        <v>530095</v>
      </c>
      <c r="AP83" s="67">
        <f t="shared" si="79"/>
        <v>190266</v>
      </c>
      <c r="AQ83" s="67">
        <f t="shared" si="79"/>
        <v>45714248</v>
      </c>
      <c r="AR83" s="58">
        <f t="shared" ref="AR83:BC83" si="80">SUM(AR4:AR82)</f>
        <v>15454980</v>
      </c>
      <c r="AS83" s="58">
        <f t="shared" si="80"/>
        <v>1994448</v>
      </c>
      <c r="AT83" s="58">
        <f t="shared" si="80"/>
        <v>8316470</v>
      </c>
      <c r="AU83" s="58">
        <f t="shared" si="80"/>
        <v>24797500</v>
      </c>
      <c r="AV83" s="58">
        <f t="shared" si="80"/>
        <v>23315689</v>
      </c>
      <c r="AW83" s="58">
        <f t="shared" si="80"/>
        <v>1379904</v>
      </c>
      <c r="AX83" s="58">
        <f t="shared" si="80"/>
        <v>468302070</v>
      </c>
      <c r="AY83" s="58">
        <f t="shared" si="80"/>
        <v>380710152</v>
      </c>
      <c r="AZ83" s="58">
        <f t="shared" si="80"/>
        <v>87591918</v>
      </c>
      <c r="BB83" s="58">
        <f t="shared" si="80"/>
        <v>13156858</v>
      </c>
      <c r="BC83" s="58">
        <f t="shared" si="80"/>
        <v>1810845</v>
      </c>
      <c r="BD83" s="2"/>
      <c r="BE83" s="94">
        <v>122</v>
      </c>
      <c r="BF83" s="94">
        <v>1.0660000000000001</v>
      </c>
    </row>
    <row r="84" spans="1:58" ht="14.4" x14ac:dyDescent="0.25">
      <c r="E84" s="64">
        <v>2</v>
      </c>
      <c r="F84" s="64">
        <v>2.7</v>
      </c>
      <c r="G84" s="64">
        <v>4</v>
      </c>
      <c r="H84" s="64">
        <f>G84</f>
        <v>4</v>
      </c>
      <c r="I84" s="64">
        <f>G84</f>
        <v>4</v>
      </c>
      <c r="J84" s="64">
        <f>H84</f>
        <v>4</v>
      </c>
      <c r="K84" s="64">
        <v>0.53</v>
      </c>
      <c r="L84" s="64"/>
      <c r="M84" s="64">
        <v>1</v>
      </c>
      <c r="N84" s="64">
        <v>0.31</v>
      </c>
      <c r="P84" s="64">
        <v>0.06</v>
      </c>
      <c r="Q84" s="64">
        <v>0.86</v>
      </c>
      <c r="R84" s="64">
        <v>0.33</v>
      </c>
      <c r="T84" s="64">
        <v>7.0000000000000007E-2</v>
      </c>
      <c r="AP84" s="70">
        <v>0.1</v>
      </c>
      <c r="AW84" t="s">
        <v>775</v>
      </c>
      <c r="AX84" s="2">
        <f>KOOND!D86</f>
        <v>468305000</v>
      </c>
      <c r="BD84" s="2"/>
      <c r="BE84" s="94">
        <v>123</v>
      </c>
      <c r="BF84" s="94">
        <v>1.0660000000000001</v>
      </c>
    </row>
    <row r="85" spans="1:58" ht="14.4" x14ac:dyDescent="0.25">
      <c r="E85" s="64">
        <v>1</v>
      </c>
      <c r="F85" s="64">
        <v>1.7</v>
      </c>
      <c r="G85" s="64">
        <v>4</v>
      </c>
      <c r="H85" s="64">
        <v>4</v>
      </c>
      <c r="I85" s="64">
        <v>4</v>
      </c>
      <c r="J85" s="64">
        <v>4</v>
      </c>
      <c r="V85" s="64">
        <v>0.7</v>
      </c>
      <c r="W85" s="64">
        <v>1.3</v>
      </c>
      <c r="X85" s="64">
        <v>4</v>
      </c>
      <c r="AC85" s="55"/>
      <c r="AS85" s="64"/>
      <c r="AW85" t="s">
        <v>531</v>
      </c>
      <c r="AX85" s="2">
        <f>AX84-AX83</f>
        <v>2930</v>
      </c>
      <c r="BD85" s="2"/>
      <c r="BE85" s="94">
        <v>124</v>
      </c>
      <c r="BF85" s="94">
        <v>1.0649999999999999</v>
      </c>
    </row>
    <row r="86" spans="1:58" ht="14.4" x14ac:dyDescent="0.25">
      <c r="E86" s="2"/>
      <c r="F86" s="2"/>
      <c r="G86" s="2"/>
      <c r="H86" s="2"/>
      <c r="I86" s="2"/>
      <c r="J86" s="2"/>
      <c r="U86" s="2"/>
      <c r="V86" s="2"/>
      <c r="W86" s="2"/>
      <c r="X86" s="2"/>
      <c r="AC86" s="62"/>
      <c r="AD86" s="2"/>
      <c r="AE86" s="2"/>
      <c r="AF86" s="2"/>
      <c r="AG86" s="2"/>
      <c r="AH86" s="2"/>
      <c r="AJ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BD86" s="2"/>
      <c r="BE86" s="94">
        <v>125</v>
      </c>
      <c r="BF86" s="94">
        <v>1.0649999999999999</v>
      </c>
    </row>
    <row r="87" spans="1:58" ht="24" x14ac:dyDescent="0.25">
      <c r="B87" s="68" t="s">
        <v>611</v>
      </c>
      <c r="D87" s="2"/>
      <c r="U87" s="21"/>
      <c r="V87" s="2"/>
      <c r="W87" s="2"/>
      <c r="X87" s="2"/>
      <c r="AC87" s="21"/>
      <c r="AD87" s="21"/>
      <c r="AE87" s="21"/>
      <c r="AF87" s="21"/>
      <c r="AG87" s="21"/>
      <c r="AH87" s="21"/>
      <c r="AJ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BD87" s="2"/>
      <c r="BE87" s="94">
        <v>126</v>
      </c>
      <c r="BF87" s="94">
        <v>1.0640000000000001</v>
      </c>
    </row>
    <row r="88" spans="1:58" ht="14.4" x14ac:dyDescent="0.25">
      <c r="B88" t="s">
        <v>606</v>
      </c>
      <c r="C88" s="64">
        <f>ROUNDDOWN(1749*1.171*12*1.338/15,0)</f>
        <v>2192</v>
      </c>
      <c r="D88" s="80">
        <v>0.23911814584511015</v>
      </c>
      <c r="U88" s="2"/>
      <c r="AC88" s="47"/>
      <c r="AD88" s="78"/>
      <c r="AT88" s="2"/>
      <c r="BD88" s="2"/>
      <c r="BE88" s="94">
        <v>127</v>
      </c>
      <c r="BF88" s="94">
        <v>1.0640000000000001</v>
      </c>
    </row>
    <row r="89" spans="1:58" ht="14.4" x14ac:dyDescent="0.25">
      <c r="B89" t="s">
        <v>607</v>
      </c>
      <c r="C89" s="64">
        <v>92</v>
      </c>
      <c r="AC89" s="47"/>
      <c r="BD89" s="2"/>
      <c r="BE89" s="94">
        <v>128</v>
      </c>
      <c r="BF89" s="94">
        <v>1.0629999999999999</v>
      </c>
    </row>
    <row r="90" spans="1:58" ht="14.4" x14ac:dyDescent="0.25">
      <c r="B90" t="s">
        <v>608</v>
      </c>
      <c r="C90" s="64">
        <v>12</v>
      </c>
      <c r="BD90" s="2"/>
      <c r="BE90" s="94">
        <v>129</v>
      </c>
      <c r="BF90" s="94">
        <v>1.0629999999999999</v>
      </c>
    </row>
    <row r="91" spans="1:58" ht="14.4" x14ac:dyDescent="0.25">
      <c r="B91" t="s">
        <v>609</v>
      </c>
      <c r="C91" s="64">
        <v>57</v>
      </c>
      <c r="BD91" s="2"/>
      <c r="BE91" s="94">
        <v>130</v>
      </c>
      <c r="BF91" s="94">
        <v>1.0620000000000001</v>
      </c>
    </row>
    <row r="92" spans="1:58" ht="14.4" x14ac:dyDescent="0.25">
      <c r="B92" t="s">
        <v>610</v>
      </c>
      <c r="C92" s="64">
        <v>175</v>
      </c>
      <c r="BD92" s="2"/>
      <c r="BE92" s="94">
        <v>131</v>
      </c>
      <c r="BF92" s="94">
        <v>1.0620000000000001</v>
      </c>
    </row>
    <row r="93" spans="1:58" ht="14.4" x14ac:dyDescent="0.25">
      <c r="B93" t="s">
        <v>612</v>
      </c>
      <c r="C93" s="64">
        <f>99*12</f>
        <v>1188</v>
      </c>
      <c r="BD93" s="2"/>
      <c r="BE93" s="94">
        <v>132</v>
      </c>
      <c r="BF93" s="94">
        <v>1.0609999999999999</v>
      </c>
    </row>
    <row r="94" spans="1:58" ht="14.4" x14ac:dyDescent="0.25">
      <c r="B94" t="s">
        <v>747</v>
      </c>
      <c r="C94" s="110">
        <v>9.6004799999999992</v>
      </c>
      <c r="D94" s="80">
        <v>0.4448294622116975</v>
      </c>
      <c r="BE94" s="94">
        <v>133</v>
      </c>
      <c r="BF94" s="94">
        <v>1.0609999999999999</v>
      </c>
    </row>
    <row r="95" spans="1:58" ht="14.4" x14ac:dyDescent="0.25">
      <c r="C95" s="25">
        <f>ROUND(ROUND(1749*1.171,0)*12*1.338,0)</f>
        <v>32883</v>
      </c>
      <c r="BE95" s="94">
        <v>134</v>
      </c>
      <c r="BF95" s="94">
        <v>1.06</v>
      </c>
    </row>
    <row r="96" spans="1:58" ht="14.4" x14ac:dyDescent="0.25">
      <c r="BE96" s="94">
        <v>135</v>
      </c>
      <c r="BF96" s="94">
        <v>1.06</v>
      </c>
    </row>
    <row r="97" spans="2:58" ht="14.4" x14ac:dyDescent="0.25">
      <c r="B97" t="s">
        <v>679</v>
      </c>
      <c r="C97" s="2">
        <f>AJ83+AQ83</f>
        <v>393043079</v>
      </c>
      <c r="BE97" s="94">
        <v>136</v>
      </c>
      <c r="BF97" s="94">
        <v>1.0589999999999999</v>
      </c>
    </row>
    <row r="98" spans="2:58" ht="14.4" x14ac:dyDescent="0.25">
      <c r="B98" t="s">
        <v>680</v>
      </c>
      <c r="C98" s="2">
        <f>AR83</f>
        <v>15454980</v>
      </c>
      <c r="BE98" s="94">
        <v>137</v>
      </c>
      <c r="BF98" s="94">
        <v>1.0589999999999999</v>
      </c>
    </row>
    <row r="99" spans="2:58" ht="14.4" x14ac:dyDescent="0.25">
      <c r="B99" t="s">
        <v>645</v>
      </c>
      <c r="C99" s="2">
        <f>AS83</f>
        <v>1994448</v>
      </c>
      <c r="BE99" s="94">
        <v>138</v>
      </c>
      <c r="BF99" s="94">
        <v>1.0580000000000001</v>
      </c>
    </row>
    <row r="100" spans="2:58" ht="14.4" x14ac:dyDescent="0.25">
      <c r="B100" t="s">
        <v>681</v>
      </c>
      <c r="C100" s="2">
        <f>AT83</f>
        <v>8316470</v>
      </c>
      <c r="BE100" s="94">
        <v>139</v>
      </c>
      <c r="BF100" s="94">
        <v>1.0580000000000001</v>
      </c>
    </row>
    <row r="101" spans="2:58" ht="14.4" x14ac:dyDescent="0.25">
      <c r="B101" t="s">
        <v>610</v>
      </c>
      <c r="C101" s="2">
        <f>AU83</f>
        <v>24797500</v>
      </c>
      <c r="BE101" s="94">
        <v>140</v>
      </c>
      <c r="BF101" s="94">
        <v>1.0569999999999999</v>
      </c>
    </row>
    <row r="102" spans="2:58" ht="14.4" x14ac:dyDescent="0.25">
      <c r="B102" t="s">
        <v>682</v>
      </c>
      <c r="C102" s="2">
        <f>AV83</f>
        <v>23315689</v>
      </c>
      <c r="BE102" s="94">
        <v>141</v>
      </c>
      <c r="BF102" s="94">
        <v>1.0569999999999999</v>
      </c>
    </row>
    <row r="103" spans="2:58" ht="14.4" x14ac:dyDescent="0.25">
      <c r="B103" t="s">
        <v>747</v>
      </c>
      <c r="C103" s="2">
        <f>AW83</f>
        <v>1379904</v>
      </c>
      <c r="BE103" s="94">
        <v>142</v>
      </c>
      <c r="BF103" s="94">
        <v>1.056</v>
      </c>
    </row>
    <row r="104" spans="2:58" ht="14.4" x14ac:dyDescent="0.25">
      <c r="C104" s="2">
        <f>SUM(C97:C103)</f>
        <v>468302070</v>
      </c>
      <c r="BE104" s="94">
        <v>143</v>
      </c>
      <c r="BF104" s="94">
        <v>1.056</v>
      </c>
    </row>
    <row r="105" spans="2:58" ht="14.4" x14ac:dyDescent="0.25">
      <c r="BE105" s="94">
        <v>144</v>
      </c>
      <c r="BF105" s="94">
        <v>1.056</v>
      </c>
    </row>
    <row r="106" spans="2:58" ht="14.4" x14ac:dyDescent="0.25">
      <c r="BE106" s="94">
        <v>145</v>
      </c>
      <c r="BF106" s="94">
        <v>1.0549999999999999</v>
      </c>
    </row>
    <row r="107" spans="2:58" ht="14.4" x14ac:dyDescent="0.25">
      <c r="BE107" s="94">
        <v>146</v>
      </c>
      <c r="BF107" s="94">
        <v>1.0549999999999999</v>
      </c>
    </row>
    <row r="108" spans="2:58" ht="14.4" x14ac:dyDescent="0.25">
      <c r="BE108" s="94">
        <v>147</v>
      </c>
      <c r="BF108" s="94">
        <v>1.054</v>
      </c>
    </row>
    <row r="109" spans="2:58" ht="14.4" x14ac:dyDescent="0.25">
      <c r="BE109" s="94">
        <v>148</v>
      </c>
      <c r="BF109" s="94">
        <v>1.054</v>
      </c>
    </row>
    <row r="110" spans="2:58" ht="14.4" x14ac:dyDescent="0.25">
      <c r="BE110" s="94">
        <v>149</v>
      </c>
      <c r="BF110" s="94">
        <v>1.0529999999999999</v>
      </c>
    </row>
    <row r="111" spans="2:58" ht="14.4" x14ac:dyDescent="0.25">
      <c r="BE111" s="94">
        <v>150</v>
      </c>
      <c r="BF111" s="94">
        <v>1.0529999999999999</v>
      </c>
    </row>
    <row r="112" spans="2:58" ht="14.4" x14ac:dyDescent="0.25">
      <c r="BE112" s="94">
        <v>151</v>
      </c>
      <c r="BF112" s="94">
        <v>1.052</v>
      </c>
    </row>
    <row r="113" spans="57:58" ht="14.4" x14ac:dyDescent="0.25">
      <c r="BE113" s="94">
        <v>152</v>
      </c>
      <c r="BF113" s="94">
        <v>1.052</v>
      </c>
    </row>
    <row r="114" spans="57:58" ht="14.4" x14ac:dyDescent="0.25">
      <c r="BE114" s="94">
        <v>153</v>
      </c>
      <c r="BF114" s="94">
        <v>1.0509999999999999</v>
      </c>
    </row>
    <row r="115" spans="57:58" ht="14.4" x14ac:dyDescent="0.25">
      <c r="BE115" s="94">
        <v>154</v>
      </c>
      <c r="BF115" s="94">
        <v>1.0509999999999999</v>
      </c>
    </row>
    <row r="116" spans="57:58" ht="14.4" x14ac:dyDescent="0.25">
      <c r="BE116" s="94">
        <v>155</v>
      </c>
      <c r="BF116" s="94">
        <v>1.05</v>
      </c>
    </row>
    <row r="117" spans="57:58" ht="14.4" x14ac:dyDescent="0.25">
      <c r="BE117" s="94">
        <v>156</v>
      </c>
      <c r="BF117" s="94">
        <v>1.05</v>
      </c>
    </row>
    <row r="118" spans="57:58" ht="14.4" x14ac:dyDescent="0.25">
      <c r="BE118" s="94">
        <v>157</v>
      </c>
      <c r="BF118" s="94">
        <v>1.0489999999999999</v>
      </c>
    </row>
    <row r="119" spans="57:58" ht="14.4" x14ac:dyDescent="0.25">
      <c r="BE119" s="94">
        <v>158</v>
      </c>
      <c r="BF119" s="94">
        <v>1.0489999999999999</v>
      </c>
    </row>
    <row r="120" spans="57:58" ht="14.4" x14ac:dyDescent="0.25">
      <c r="BE120" s="94">
        <v>159</v>
      </c>
      <c r="BF120" s="94">
        <v>1.048</v>
      </c>
    </row>
    <row r="121" spans="57:58" ht="14.4" x14ac:dyDescent="0.25">
      <c r="BE121" s="94">
        <v>160</v>
      </c>
      <c r="BF121" s="94">
        <v>1.048</v>
      </c>
    </row>
    <row r="122" spans="57:58" ht="14.4" x14ac:dyDescent="0.25">
      <c r="BE122" s="94">
        <v>161</v>
      </c>
      <c r="BF122" s="94">
        <v>1.0469999999999999</v>
      </c>
    </row>
    <row r="123" spans="57:58" ht="14.4" x14ac:dyDescent="0.25">
      <c r="BE123" s="94">
        <v>162</v>
      </c>
      <c r="BF123" s="94">
        <v>1.0469999999999999</v>
      </c>
    </row>
    <row r="124" spans="57:58" ht="14.4" x14ac:dyDescent="0.25">
      <c r="BE124" s="94">
        <v>163</v>
      </c>
      <c r="BF124" s="94">
        <v>1.046</v>
      </c>
    </row>
    <row r="125" spans="57:58" ht="14.4" x14ac:dyDescent="0.25">
      <c r="BE125" s="94">
        <v>164</v>
      </c>
      <c r="BF125" s="94">
        <v>1.046</v>
      </c>
    </row>
    <row r="126" spans="57:58" ht="14.4" x14ac:dyDescent="0.25">
      <c r="BE126" s="94">
        <v>165</v>
      </c>
      <c r="BF126" s="94">
        <v>1.0449999999999999</v>
      </c>
    </row>
    <row r="127" spans="57:58" ht="14.4" x14ac:dyDescent="0.25">
      <c r="BE127" s="94">
        <v>166</v>
      </c>
      <c r="BF127" s="94">
        <v>1.0449999999999999</v>
      </c>
    </row>
    <row r="128" spans="57:58" ht="14.4" x14ac:dyDescent="0.25">
      <c r="BE128" s="94">
        <v>167</v>
      </c>
      <c r="BF128" s="94">
        <v>1.0449999999999999</v>
      </c>
    </row>
    <row r="129" spans="57:58" ht="14.4" x14ac:dyDescent="0.25">
      <c r="BE129" s="94">
        <v>168</v>
      </c>
      <c r="BF129" s="94">
        <v>1.044</v>
      </c>
    </row>
    <row r="130" spans="57:58" ht="14.4" x14ac:dyDescent="0.25">
      <c r="BE130" s="94">
        <v>169</v>
      </c>
      <c r="BF130" s="94">
        <v>1.044</v>
      </c>
    </row>
    <row r="131" spans="57:58" ht="14.4" x14ac:dyDescent="0.25">
      <c r="BE131" s="94">
        <v>170</v>
      </c>
      <c r="BF131" s="94">
        <v>1.0429999999999999</v>
      </c>
    </row>
    <row r="132" spans="57:58" ht="14.4" x14ac:dyDescent="0.25">
      <c r="BE132" s="94">
        <v>171</v>
      </c>
      <c r="BF132" s="94">
        <v>1.0429999999999999</v>
      </c>
    </row>
    <row r="133" spans="57:58" ht="14.4" x14ac:dyDescent="0.25">
      <c r="BE133" s="94">
        <v>172</v>
      </c>
      <c r="BF133" s="94">
        <v>1.042</v>
      </c>
    </row>
    <row r="134" spans="57:58" ht="14.4" x14ac:dyDescent="0.25">
      <c r="BE134" s="94">
        <v>173</v>
      </c>
      <c r="BF134" s="94">
        <v>1.042</v>
      </c>
    </row>
    <row r="135" spans="57:58" ht="14.4" x14ac:dyDescent="0.25">
      <c r="BE135" s="94">
        <v>174</v>
      </c>
      <c r="BF135" s="94">
        <v>1.0409999999999999</v>
      </c>
    </row>
    <row r="136" spans="57:58" ht="14.4" x14ac:dyDescent="0.25">
      <c r="BE136" s="94">
        <v>175</v>
      </c>
      <c r="BF136" s="94">
        <v>1.0409999999999999</v>
      </c>
    </row>
    <row r="137" spans="57:58" ht="14.4" x14ac:dyDescent="0.25">
      <c r="BE137" s="94">
        <v>176</v>
      </c>
      <c r="BF137" s="94">
        <v>1.04</v>
      </c>
    </row>
    <row r="138" spans="57:58" ht="14.4" x14ac:dyDescent="0.25">
      <c r="BE138" s="94">
        <v>177</v>
      </c>
      <c r="BF138" s="94">
        <v>1.04</v>
      </c>
    </row>
    <row r="139" spans="57:58" ht="14.4" x14ac:dyDescent="0.25">
      <c r="BE139" s="94">
        <v>178</v>
      </c>
      <c r="BF139" s="94">
        <v>1.0389999999999999</v>
      </c>
    </row>
    <row r="140" spans="57:58" ht="14.4" x14ac:dyDescent="0.25">
      <c r="BE140" s="94">
        <v>179</v>
      </c>
      <c r="BF140" s="94">
        <v>1.0389999999999999</v>
      </c>
    </row>
    <row r="141" spans="57:58" ht="14.4" x14ac:dyDescent="0.25">
      <c r="BE141" s="94">
        <v>180</v>
      </c>
      <c r="BF141" s="94">
        <v>1.038</v>
      </c>
    </row>
    <row r="142" spans="57:58" ht="14.4" x14ac:dyDescent="0.25">
      <c r="BE142" s="94">
        <v>181</v>
      </c>
      <c r="BF142" s="94">
        <v>1.038</v>
      </c>
    </row>
    <row r="143" spans="57:58" ht="14.4" x14ac:dyDescent="0.25">
      <c r="BE143" s="94">
        <v>182</v>
      </c>
      <c r="BF143" s="94">
        <v>1.0369999999999999</v>
      </c>
    </row>
    <row r="144" spans="57:58" ht="14.4" x14ac:dyDescent="0.25">
      <c r="BE144" s="94">
        <v>183</v>
      </c>
      <c r="BF144" s="94">
        <v>1.0369999999999999</v>
      </c>
    </row>
    <row r="145" spans="57:58" ht="14.4" x14ac:dyDescent="0.25">
      <c r="BE145" s="94">
        <v>184</v>
      </c>
      <c r="BF145" s="94">
        <v>1.036</v>
      </c>
    </row>
    <row r="146" spans="57:58" ht="14.4" x14ac:dyDescent="0.25">
      <c r="BE146" s="94">
        <v>185</v>
      </c>
      <c r="BF146" s="94">
        <v>1.036</v>
      </c>
    </row>
    <row r="147" spans="57:58" ht="14.4" x14ac:dyDescent="0.25">
      <c r="BE147" s="94">
        <v>186</v>
      </c>
      <c r="BF147" s="94">
        <v>1.0349999999999999</v>
      </c>
    </row>
    <row r="148" spans="57:58" ht="14.4" x14ac:dyDescent="0.25">
      <c r="BE148" s="94">
        <v>187</v>
      </c>
      <c r="BF148" s="94">
        <v>1.0349999999999999</v>
      </c>
    </row>
    <row r="149" spans="57:58" ht="14.4" x14ac:dyDescent="0.25">
      <c r="BE149" s="94">
        <v>188</v>
      </c>
      <c r="BF149" s="94">
        <v>1.034</v>
      </c>
    </row>
    <row r="150" spans="57:58" ht="14.4" x14ac:dyDescent="0.25">
      <c r="BE150" s="94">
        <v>189</v>
      </c>
      <c r="BF150" s="94">
        <v>1.034</v>
      </c>
    </row>
    <row r="151" spans="57:58" ht="14.4" x14ac:dyDescent="0.25">
      <c r="BE151" s="94">
        <v>190</v>
      </c>
      <c r="BF151" s="94">
        <v>1.034</v>
      </c>
    </row>
    <row r="152" spans="57:58" ht="14.4" x14ac:dyDescent="0.25">
      <c r="BE152" s="94">
        <v>191</v>
      </c>
      <c r="BF152" s="94">
        <v>1.0329999999999999</v>
      </c>
    </row>
    <row r="153" spans="57:58" ht="14.4" x14ac:dyDescent="0.25">
      <c r="BE153" s="94">
        <v>192</v>
      </c>
      <c r="BF153" s="94">
        <v>1.0329999999999999</v>
      </c>
    </row>
    <row r="154" spans="57:58" ht="14.4" x14ac:dyDescent="0.25">
      <c r="BE154" s="94">
        <v>193</v>
      </c>
      <c r="BF154" s="94">
        <v>1.032</v>
      </c>
    </row>
    <row r="155" spans="57:58" ht="14.4" x14ac:dyDescent="0.25">
      <c r="BE155" s="94">
        <v>194</v>
      </c>
      <c r="BF155" s="94">
        <v>1.032</v>
      </c>
    </row>
    <row r="156" spans="57:58" ht="14.4" x14ac:dyDescent="0.25">
      <c r="BE156" s="94">
        <v>195</v>
      </c>
      <c r="BF156" s="94">
        <v>1.0309999999999999</v>
      </c>
    </row>
    <row r="157" spans="57:58" ht="14.4" x14ac:dyDescent="0.25">
      <c r="BE157" s="94">
        <v>196</v>
      </c>
      <c r="BF157" s="94">
        <v>1.0309999999999999</v>
      </c>
    </row>
    <row r="158" spans="57:58" ht="14.4" x14ac:dyDescent="0.25">
      <c r="BE158" s="94">
        <v>197</v>
      </c>
      <c r="BF158" s="94">
        <v>1.03</v>
      </c>
    </row>
    <row r="159" spans="57:58" ht="14.4" x14ac:dyDescent="0.25">
      <c r="BE159" s="94">
        <v>198</v>
      </c>
      <c r="BF159" s="94">
        <v>1.03</v>
      </c>
    </row>
    <row r="160" spans="57:58" ht="14.4" x14ac:dyDescent="0.25">
      <c r="BE160" s="94">
        <v>199</v>
      </c>
      <c r="BF160" s="94">
        <v>1.0289999999999999</v>
      </c>
    </row>
    <row r="161" spans="57:58" ht="14.4" x14ac:dyDescent="0.25">
      <c r="BE161" s="94">
        <v>200</v>
      </c>
      <c r="BF161" s="94">
        <v>1.0289999999999999</v>
      </c>
    </row>
    <row r="162" spans="57:58" ht="14.4" x14ac:dyDescent="0.25">
      <c r="BE162" s="94">
        <v>201</v>
      </c>
      <c r="BF162" s="94">
        <v>1.028</v>
      </c>
    </row>
    <row r="163" spans="57:58" ht="14.4" x14ac:dyDescent="0.25">
      <c r="BE163" s="94">
        <v>202</v>
      </c>
      <c r="BF163" s="94">
        <v>1.028</v>
      </c>
    </row>
    <row r="164" spans="57:58" ht="14.4" x14ac:dyDescent="0.25">
      <c r="BE164" s="94">
        <v>203</v>
      </c>
      <c r="BF164" s="94">
        <v>1.0269999999999999</v>
      </c>
    </row>
    <row r="165" spans="57:58" ht="14.4" x14ac:dyDescent="0.25">
      <c r="BE165" s="94">
        <v>204</v>
      </c>
      <c r="BF165" s="94">
        <v>1.0269999999999999</v>
      </c>
    </row>
    <row r="166" spans="57:58" ht="14.4" x14ac:dyDescent="0.25">
      <c r="BE166" s="94">
        <v>205</v>
      </c>
      <c r="BF166" s="94">
        <v>1.026</v>
      </c>
    </row>
    <row r="167" spans="57:58" ht="14.4" x14ac:dyDescent="0.25">
      <c r="BE167" s="94">
        <v>206</v>
      </c>
      <c r="BF167" s="94">
        <v>1.026</v>
      </c>
    </row>
    <row r="168" spans="57:58" ht="14.4" x14ac:dyDescent="0.25">
      <c r="BE168" s="94">
        <v>207</v>
      </c>
      <c r="BF168" s="94">
        <v>1.0249999999999999</v>
      </c>
    </row>
    <row r="169" spans="57:58" ht="14.4" x14ac:dyDescent="0.25">
      <c r="BE169" s="94">
        <v>208</v>
      </c>
      <c r="BF169" s="94">
        <v>1.0249999999999999</v>
      </c>
    </row>
    <row r="170" spans="57:58" ht="14.4" x14ac:dyDescent="0.25">
      <c r="BE170" s="94">
        <v>209</v>
      </c>
      <c r="BF170" s="94">
        <v>1.024</v>
      </c>
    </row>
    <row r="171" spans="57:58" ht="14.4" x14ac:dyDescent="0.25">
      <c r="BE171" s="94">
        <v>210</v>
      </c>
      <c r="BF171" s="94">
        <v>1.024</v>
      </c>
    </row>
    <row r="172" spans="57:58" ht="14.4" x14ac:dyDescent="0.25">
      <c r="BE172" s="94">
        <v>211</v>
      </c>
      <c r="BF172" s="94">
        <v>1.0229999999999999</v>
      </c>
    </row>
    <row r="173" spans="57:58" ht="14.4" x14ac:dyDescent="0.25">
      <c r="BE173" s="94">
        <v>212</v>
      </c>
      <c r="BF173" s="94">
        <v>1.0229999999999999</v>
      </c>
    </row>
    <row r="174" spans="57:58" ht="14.4" x14ac:dyDescent="0.25">
      <c r="BE174" s="94">
        <v>213</v>
      </c>
      <c r="BF174" s="94">
        <v>1.0229999999999999</v>
      </c>
    </row>
    <row r="175" spans="57:58" ht="14.4" x14ac:dyDescent="0.25">
      <c r="BE175" s="94">
        <v>214</v>
      </c>
      <c r="BF175" s="94">
        <v>1.022</v>
      </c>
    </row>
    <row r="176" spans="57:58" ht="14.4" x14ac:dyDescent="0.25">
      <c r="BE176" s="94">
        <v>215</v>
      </c>
      <c r="BF176" s="94">
        <v>1.022</v>
      </c>
    </row>
    <row r="177" spans="57:58" ht="14.4" x14ac:dyDescent="0.25">
      <c r="BE177" s="94">
        <v>216</v>
      </c>
      <c r="BF177" s="94">
        <v>1.0209999999999999</v>
      </c>
    </row>
    <row r="178" spans="57:58" ht="14.4" x14ac:dyDescent="0.25">
      <c r="BE178" s="94">
        <v>217</v>
      </c>
      <c r="BF178" s="94">
        <v>1.0209999999999999</v>
      </c>
    </row>
    <row r="179" spans="57:58" ht="14.4" x14ac:dyDescent="0.25">
      <c r="BE179" s="94">
        <v>218</v>
      </c>
      <c r="BF179" s="94">
        <v>1.02</v>
      </c>
    </row>
    <row r="180" spans="57:58" ht="14.4" x14ac:dyDescent="0.25">
      <c r="BE180" s="94">
        <v>219</v>
      </c>
      <c r="BF180" s="94">
        <v>1.02</v>
      </c>
    </row>
    <row r="181" spans="57:58" ht="14.4" x14ac:dyDescent="0.25">
      <c r="BE181" s="94">
        <v>220</v>
      </c>
      <c r="BF181" s="94">
        <v>1.0189999999999999</v>
      </c>
    </row>
    <row r="182" spans="57:58" ht="14.4" x14ac:dyDescent="0.25">
      <c r="BE182" s="94">
        <v>221</v>
      </c>
      <c r="BF182" s="94">
        <v>1.0189999999999999</v>
      </c>
    </row>
    <row r="183" spans="57:58" ht="14.4" x14ac:dyDescent="0.25">
      <c r="BE183" s="94">
        <v>222</v>
      </c>
      <c r="BF183" s="94">
        <v>1.018</v>
      </c>
    </row>
    <row r="184" spans="57:58" ht="14.4" x14ac:dyDescent="0.25">
      <c r="BE184" s="94">
        <v>223</v>
      </c>
      <c r="BF184" s="94">
        <v>1.018</v>
      </c>
    </row>
    <row r="185" spans="57:58" ht="14.4" x14ac:dyDescent="0.25">
      <c r="BE185" s="94">
        <v>224</v>
      </c>
      <c r="BF185" s="94">
        <v>1.0169999999999999</v>
      </c>
    </row>
    <row r="186" spans="57:58" ht="14.4" x14ac:dyDescent="0.25">
      <c r="BE186" s="94">
        <v>225</v>
      </c>
      <c r="BF186" s="94">
        <v>1.0169999999999999</v>
      </c>
    </row>
    <row r="187" spans="57:58" ht="14.4" x14ac:dyDescent="0.25">
      <c r="BE187" s="94">
        <v>226</v>
      </c>
      <c r="BF187" s="94">
        <v>1.016</v>
      </c>
    </row>
    <row r="188" spans="57:58" ht="14.4" x14ac:dyDescent="0.25">
      <c r="BE188" s="94">
        <v>227</v>
      </c>
      <c r="BF188" s="94">
        <v>1.016</v>
      </c>
    </row>
    <row r="189" spans="57:58" ht="14.4" x14ac:dyDescent="0.25">
      <c r="BE189" s="94">
        <v>228</v>
      </c>
      <c r="BF189" s="94">
        <v>1.0149999999999999</v>
      </c>
    </row>
    <row r="190" spans="57:58" ht="14.4" x14ac:dyDescent="0.25">
      <c r="BE190" s="94">
        <v>229</v>
      </c>
      <c r="BF190" s="94">
        <v>1.0149999999999999</v>
      </c>
    </row>
    <row r="191" spans="57:58" ht="14.4" x14ac:dyDescent="0.25">
      <c r="BE191" s="94">
        <v>230</v>
      </c>
      <c r="BF191" s="94">
        <v>1.014</v>
      </c>
    </row>
    <row r="192" spans="57:58" ht="14.4" x14ac:dyDescent="0.25">
      <c r="BE192" s="94">
        <v>231</v>
      </c>
      <c r="BF192" s="94">
        <v>1.014</v>
      </c>
    </row>
    <row r="193" spans="57:58" ht="14.4" x14ac:dyDescent="0.25">
      <c r="BE193" s="94">
        <v>232</v>
      </c>
      <c r="BF193" s="94">
        <v>1.0129999999999999</v>
      </c>
    </row>
    <row r="194" spans="57:58" ht="14.4" x14ac:dyDescent="0.25">
      <c r="BE194" s="94">
        <v>233</v>
      </c>
      <c r="BF194" s="94">
        <v>1.0129999999999999</v>
      </c>
    </row>
    <row r="195" spans="57:58" ht="14.4" x14ac:dyDescent="0.25">
      <c r="BE195" s="94">
        <v>234</v>
      </c>
      <c r="BF195" s="94">
        <v>1.012</v>
      </c>
    </row>
    <row r="196" spans="57:58" ht="14.4" x14ac:dyDescent="0.25">
      <c r="BE196" s="94">
        <v>235</v>
      </c>
      <c r="BF196" s="94">
        <v>1.012</v>
      </c>
    </row>
    <row r="197" spans="57:58" ht="14.4" x14ac:dyDescent="0.25">
      <c r="BE197" s="94">
        <v>236</v>
      </c>
      <c r="BF197" s="94">
        <v>1.012</v>
      </c>
    </row>
    <row r="198" spans="57:58" ht="14.4" x14ac:dyDescent="0.25">
      <c r="BE198" s="94">
        <v>237</v>
      </c>
      <c r="BF198" s="94">
        <v>1.0109999999999999</v>
      </c>
    </row>
    <row r="199" spans="57:58" ht="14.4" x14ac:dyDescent="0.25">
      <c r="BE199" s="94">
        <v>238</v>
      </c>
      <c r="BF199" s="94">
        <v>1.0109999999999999</v>
      </c>
    </row>
    <row r="200" spans="57:58" ht="14.4" x14ac:dyDescent="0.25">
      <c r="BE200" s="94">
        <v>239</v>
      </c>
      <c r="BF200" s="94">
        <v>1.01</v>
      </c>
    </row>
    <row r="201" spans="57:58" ht="14.4" x14ac:dyDescent="0.25">
      <c r="BE201" s="94">
        <v>240</v>
      </c>
      <c r="BF201" s="94">
        <v>1.01</v>
      </c>
    </row>
    <row r="202" spans="57:58" ht="14.4" x14ac:dyDescent="0.25">
      <c r="BE202" s="94">
        <v>241</v>
      </c>
      <c r="BF202" s="94">
        <v>1.0089999999999999</v>
      </c>
    </row>
    <row r="203" spans="57:58" ht="14.4" x14ac:dyDescent="0.25">
      <c r="BE203" s="94">
        <v>242</v>
      </c>
      <c r="BF203" s="94">
        <v>1.0089999999999999</v>
      </c>
    </row>
    <row r="204" spans="57:58" ht="14.4" x14ac:dyDescent="0.25">
      <c r="BE204" s="94">
        <v>243</v>
      </c>
      <c r="BF204" s="94">
        <v>1.008</v>
      </c>
    </row>
    <row r="205" spans="57:58" ht="14.4" x14ac:dyDescent="0.25">
      <c r="BE205" s="94">
        <v>244</v>
      </c>
      <c r="BF205" s="94">
        <v>1.008</v>
      </c>
    </row>
    <row r="206" spans="57:58" ht="14.4" x14ac:dyDescent="0.25">
      <c r="BE206" s="94">
        <v>245</v>
      </c>
      <c r="BF206" s="94">
        <v>1.0069999999999999</v>
      </c>
    </row>
    <row r="207" spans="57:58" ht="14.4" x14ac:dyDescent="0.25">
      <c r="BE207" s="94">
        <v>246</v>
      </c>
      <c r="BF207" s="94">
        <v>1.0069999999999999</v>
      </c>
    </row>
    <row r="208" spans="57:58" ht="14.4" x14ac:dyDescent="0.25">
      <c r="BE208" s="94">
        <v>247</v>
      </c>
      <c r="BF208" s="94">
        <v>1.006</v>
      </c>
    </row>
    <row r="209" spans="57:58" ht="14.4" x14ac:dyDescent="0.25">
      <c r="BE209" s="94">
        <v>248</v>
      </c>
      <c r="BF209" s="94">
        <v>1.006</v>
      </c>
    </row>
    <row r="210" spans="57:58" ht="14.4" x14ac:dyDescent="0.25">
      <c r="BE210" s="94">
        <v>249</v>
      </c>
      <c r="BF210" s="94">
        <v>1.0049999999999999</v>
      </c>
    </row>
    <row r="211" spans="57:58" ht="14.4" x14ac:dyDescent="0.25">
      <c r="BE211" s="94">
        <v>250</v>
      </c>
      <c r="BF211" s="94">
        <v>1.0049999999999999</v>
      </c>
    </row>
  </sheetData>
  <mergeCells count="41">
    <mergeCell ref="BC1:BC3"/>
    <mergeCell ref="AY1:AY3"/>
    <mergeCell ref="AP2:AP3"/>
    <mergeCell ref="AX1:AX3"/>
    <mergeCell ref="AN2:AN3"/>
    <mergeCell ref="AQ2:AQ3"/>
    <mergeCell ref="AV1:AV3"/>
    <mergeCell ref="AT1:AT3"/>
    <mergeCell ref="AW1:AW3"/>
    <mergeCell ref="AZ1:AZ3"/>
    <mergeCell ref="BB1:BB3"/>
    <mergeCell ref="AK1:AQ1"/>
    <mergeCell ref="AO2:AO3"/>
    <mergeCell ref="AM2:AM3"/>
    <mergeCell ref="AK2:AL2"/>
    <mergeCell ref="AU1:AU3"/>
    <mergeCell ref="AS1:AS3"/>
    <mergeCell ref="AE2:AE3"/>
    <mergeCell ref="A1:A3"/>
    <mergeCell ref="B1:B3"/>
    <mergeCell ref="C2:D2"/>
    <mergeCell ref="E2:F2"/>
    <mergeCell ref="AD2:AD3"/>
    <mergeCell ref="V2:X2"/>
    <mergeCell ref="C1:X1"/>
    <mergeCell ref="Y1:Y3"/>
    <mergeCell ref="Q2:T2"/>
    <mergeCell ref="M2:P2"/>
    <mergeCell ref="AB1:AJ1"/>
    <mergeCell ref="AB2:AC2"/>
    <mergeCell ref="G2:J2"/>
    <mergeCell ref="AF2:AF3"/>
    <mergeCell ref="U2:U3"/>
    <mergeCell ref="Z2:Z3"/>
    <mergeCell ref="AA2:AA3"/>
    <mergeCell ref="K2:L2"/>
    <mergeCell ref="AR1:AR3"/>
    <mergeCell ref="AH2:AH3"/>
    <mergeCell ref="AI2:AI3"/>
    <mergeCell ref="AJ2:AJ3"/>
    <mergeCell ref="AG2:AG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41DB9-715D-43BA-8A00-AF194B8B6733}">
  <dimension ref="A1:O95"/>
  <sheetViews>
    <sheetView workbookViewId="0">
      <pane xSplit="2" ySplit="3" topLeftCell="C67" activePane="bottomRight" state="frozen"/>
      <selection pane="topRight" activeCell="D1" sqref="D1"/>
      <selection pane="bottomLeft" activeCell="A4" sqref="A4"/>
      <selection pane="bottomRight" activeCell="F88" sqref="F88"/>
    </sheetView>
  </sheetViews>
  <sheetFormatPr defaultRowHeight="13.2" x14ac:dyDescent="0.25"/>
  <cols>
    <col min="1" max="1" width="9.5546875" bestFit="1" customWidth="1"/>
    <col min="2" max="2" width="19.44140625" bestFit="1" customWidth="1"/>
    <col min="3" max="3" width="9.109375" bestFit="1" customWidth="1"/>
    <col min="4" max="4" width="7.33203125" bestFit="1" customWidth="1"/>
    <col min="5" max="5" width="14.109375" bestFit="1" customWidth="1"/>
    <col min="6" max="6" width="9.109375" bestFit="1" customWidth="1"/>
    <col min="7" max="7" width="7.33203125" bestFit="1" customWidth="1"/>
    <col min="8" max="8" width="9.109375" bestFit="1" customWidth="1"/>
    <col min="9" max="9" width="7.33203125" bestFit="1" customWidth="1"/>
    <col min="10" max="10" width="14.109375" customWidth="1"/>
    <col min="11" max="11" width="10.5546875" customWidth="1"/>
    <col min="12" max="12" width="10.44140625" customWidth="1"/>
    <col min="13" max="13" width="8.109375" bestFit="1" customWidth="1"/>
  </cols>
  <sheetData>
    <row r="1" spans="1:15" ht="28.5" customHeight="1" x14ac:dyDescent="0.25">
      <c r="A1" s="186" t="s">
        <v>511</v>
      </c>
      <c r="B1" s="186" t="s">
        <v>510</v>
      </c>
      <c r="C1" s="176" t="s">
        <v>836</v>
      </c>
      <c r="D1" s="176"/>
      <c r="E1" s="176"/>
      <c r="F1" s="176" t="s">
        <v>802</v>
      </c>
      <c r="G1" s="176"/>
      <c r="H1" s="176" t="s">
        <v>803</v>
      </c>
      <c r="I1" s="176"/>
      <c r="J1" s="176"/>
      <c r="K1" s="246" t="s">
        <v>776</v>
      </c>
      <c r="L1" s="176" t="s">
        <v>750</v>
      </c>
      <c r="M1" s="176" t="s">
        <v>564</v>
      </c>
      <c r="O1" s="8"/>
    </row>
    <row r="2" spans="1:15" ht="12.75" customHeight="1" x14ac:dyDescent="0.25">
      <c r="A2" s="186"/>
      <c r="B2" s="186"/>
      <c r="C2" s="176"/>
      <c r="D2" s="176"/>
      <c r="E2" s="176"/>
      <c r="F2" s="176"/>
      <c r="G2" s="176"/>
      <c r="H2" s="176"/>
      <c r="I2" s="176"/>
      <c r="J2" s="176"/>
      <c r="K2" s="252"/>
      <c r="L2" s="253"/>
      <c r="M2" s="253"/>
    </row>
    <row r="3" spans="1:15" x14ac:dyDescent="0.25">
      <c r="A3" s="186"/>
      <c r="B3" s="186"/>
      <c r="C3" s="146" t="s">
        <v>565</v>
      </c>
      <c r="D3" s="146" t="s">
        <v>566</v>
      </c>
      <c r="E3" s="146" t="s">
        <v>567</v>
      </c>
      <c r="F3" s="146" t="s">
        <v>565</v>
      </c>
      <c r="G3" s="146" t="s">
        <v>566</v>
      </c>
      <c r="H3" s="146" t="s">
        <v>565</v>
      </c>
      <c r="I3" s="146" t="s">
        <v>566</v>
      </c>
      <c r="J3" s="146" t="s">
        <v>567</v>
      </c>
      <c r="K3" s="252"/>
      <c r="L3" s="253"/>
      <c r="M3" s="253"/>
    </row>
    <row r="4" spans="1:15" x14ac:dyDescent="0.25">
      <c r="A4" s="28" t="s">
        <v>69</v>
      </c>
      <c r="B4" s="29" t="s">
        <v>490</v>
      </c>
      <c r="C4" s="19">
        <v>110.70200000000007</v>
      </c>
      <c r="D4" s="19">
        <v>38.487000000000002</v>
      </c>
      <c r="E4" s="19">
        <v>302.78899999999999</v>
      </c>
      <c r="F4" s="158">
        <v>0</v>
      </c>
      <c r="G4" s="19"/>
      <c r="H4" s="19">
        <f>C4-F4</f>
        <v>110.70200000000007</v>
      </c>
      <c r="I4" s="19">
        <f>D4-G4</f>
        <v>38.487000000000002</v>
      </c>
      <c r="J4" s="19">
        <f>H4+5*I4</f>
        <v>303.13700000000006</v>
      </c>
      <c r="K4" s="19">
        <f>ROUND(J4*K$88,0)</f>
        <v>210495</v>
      </c>
      <c r="L4" s="19">
        <v>248518</v>
      </c>
      <c r="M4" s="19">
        <f>K4-L4</f>
        <v>-38023</v>
      </c>
      <c r="N4" s="133"/>
      <c r="O4" s="133"/>
    </row>
    <row r="5" spans="1:15" x14ac:dyDescent="0.25">
      <c r="A5" s="28" t="s">
        <v>69</v>
      </c>
      <c r="B5" s="29" t="s">
        <v>488</v>
      </c>
      <c r="C5" s="19">
        <v>203.19399999999996</v>
      </c>
      <c r="D5" s="19">
        <v>36.874000000000045</v>
      </c>
      <c r="E5" s="19">
        <v>377.92399999999998</v>
      </c>
      <c r="F5" s="19"/>
      <c r="G5" s="19"/>
      <c r="H5" s="19">
        <f t="shared" ref="H5:H68" si="0">C5-F5</f>
        <v>203.19399999999996</v>
      </c>
      <c r="I5" s="19">
        <f t="shared" ref="I5:I68" si="1">D5-G5</f>
        <v>36.874000000000045</v>
      </c>
      <c r="J5" s="19">
        <f t="shared" ref="J5:J68" si="2">H5+5*I5</f>
        <v>387.56400000000019</v>
      </c>
      <c r="K5" s="19">
        <f t="shared" ref="K5:K68" si="3">ROUND(J5*K$88,0)</f>
        <v>269120</v>
      </c>
      <c r="L5" s="19">
        <v>251405</v>
      </c>
      <c r="M5" s="19">
        <f t="shared" ref="M5:M68" si="4">K5-L5</f>
        <v>17715</v>
      </c>
      <c r="N5" s="133"/>
      <c r="O5" s="133"/>
    </row>
    <row r="6" spans="1:15" x14ac:dyDescent="0.25">
      <c r="A6" s="28" t="s">
        <v>69</v>
      </c>
      <c r="B6" s="29" t="s">
        <v>486</v>
      </c>
      <c r="C6" s="19">
        <v>115.61500000000009</v>
      </c>
      <c r="D6" s="19">
        <v>20.921000000000021</v>
      </c>
      <c r="E6" s="19">
        <v>220.06900000000002</v>
      </c>
      <c r="F6" s="19"/>
      <c r="G6" s="19"/>
      <c r="H6" s="19">
        <f t="shared" si="0"/>
        <v>115.61500000000009</v>
      </c>
      <c r="I6" s="19">
        <f t="shared" si="1"/>
        <v>20.921000000000021</v>
      </c>
      <c r="J6" s="19">
        <f t="shared" si="2"/>
        <v>220.2200000000002</v>
      </c>
      <c r="K6" s="19">
        <f t="shared" si="3"/>
        <v>152918</v>
      </c>
      <c r="L6" s="19">
        <v>134270</v>
      </c>
      <c r="M6" s="19">
        <f t="shared" si="4"/>
        <v>18648</v>
      </c>
      <c r="N6" s="133"/>
      <c r="O6" s="133"/>
    </row>
    <row r="7" spans="1:15" x14ac:dyDescent="0.25">
      <c r="A7" s="28" t="s">
        <v>69</v>
      </c>
      <c r="B7" s="29" t="s">
        <v>81</v>
      </c>
      <c r="C7" s="19">
        <v>2.1030000000000002</v>
      </c>
      <c r="D7" s="19">
        <v>50.34899999999999</v>
      </c>
      <c r="E7" s="19">
        <v>233.94499999999999</v>
      </c>
      <c r="F7" s="19"/>
      <c r="G7" s="19"/>
      <c r="H7" s="19">
        <f t="shared" si="0"/>
        <v>2.1030000000000002</v>
      </c>
      <c r="I7" s="19">
        <f t="shared" si="1"/>
        <v>50.34899999999999</v>
      </c>
      <c r="J7" s="19">
        <f t="shared" si="2"/>
        <v>253.84799999999996</v>
      </c>
      <c r="K7" s="19">
        <f t="shared" si="3"/>
        <v>176269</v>
      </c>
      <c r="L7" s="19">
        <v>162789</v>
      </c>
      <c r="M7" s="19">
        <f t="shared" si="4"/>
        <v>13480</v>
      </c>
      <c r="N7" s="133"/>
      <c r="O7" s="133"/>
    </row>
    <row r="8" spans="1:15" x14ac:dyDescent="0.25">
      <c r="A8" s="28" t="s">
        <v>69</v>
      </c>
      <c r="B8" s="29" t="s">
        <v>480</v>
      </c>
      <c r="C8" s="19">
        <v>58.418000000000092</v>
      </c>
      <c r="D8" s="19">
        <v>37.72300000000002</v>
      </c>
      <c r="E8" s="19">
        <v>246.59899999999999</v>
      </c>
      <c r="F8" s="19"/>
      <c r="G8" s="19"/>
      <c r="H8" s="19">
        <f t="shared" si="0"/>
        <v>58.418000000000092</v>
      </c>
      <c r="I8" s="19">
        <f t="shared" si="1"/>
        <v>37.72300000000002</v>
      </c>
      <c r="J8" s="19">
        <f t="shared" si="2"/>
        <v>247.03300000000019</v>
      </c>
      <c r="K8" s="19">
        <f t="shared" si="3"/>
        <v>171537</v>
      </c>
      <c r="L8" s="19">
        <v>166728</v>
      </c>
      <c r="M8" s="19">
        <f t="shared" si="4"/>
        <v>4809</v>
      </c>
      <c r="N8" s="133"/>
      <c r="O8" s="133"/>
    </row>
    <row r="9" spans="1:15" x14ac:dyDescent="0.25">
      <c r="A9" s="28" t="s">
        <v>69</v>
      </c>
      <c r="B9" s="31" t="s">
        <v>478</v>
      </c>
      <c r="C9" s="19">
        <v>130.87899999999991</v>
      </c>
      <c r="D9" s="19">
        <v>37.99799999999999</v>
      </c>
      <c r="E9" s="19">
        <v>320.54499999999996</v>
      </c>
      <c r="F9" s="19"/>
      <c r="G9" s="19"/>
      <c r="H9" s="19">
        <f t="shared" si="0"/>
        <v>130.87899999999991</v>
      </c>
      <c r="I9" s="19">
        <f t="shared" si="1"/>
        <v>37.99799999999999</v>
      </c>
      <c r="J9" s="19">
        <f t="shared" si="2"/>
        <v>320.86899999999986</v>
      </c>
      <c r="K9" s="19">
        <f t="shared" si="3"/>
        <v>222808</v>
      </c>
      <c r="L9" s="19">
        <v>222399</v>
      </c>
      <c r="M9" s="19">
        <f t="shared" si="4"/>
        <v>409</v>
      </c>
      <c r="N9" s="133"/>
      <c r="O9" s="133"/>
    </row>
    <row r="10" spans="1:15" x14ac:dyDescent="0.25">
      <c r="A10" s="28" t="s">
        <v>69</v>
      </c>
      <c r="B10" s="29" t="s">
        <v>476</v>
      </c>
      <c r="C10" s="19">
        <v>276.59400000000011</v>
      </c>
      <c r="D10" s="19">
        <v>12.051999999999996</v>
      </c>
      <c r="E10" s="19">
        <v>336.435</v>
      </c>
      <c r="F10" s="19"/>
      <c r="G10" s="19"/>
      <c r="H10" s="19">
        <f t="shared" si="0"/>
        <v>276.59400000000011</v>
      </c>
      <c r="I10" s="19">
        <f t="shared" si="1"/>
        <v>12.051999999999996</v>
      </c>
      <c r="J10" s="19">
        <f t="shared" si="2"/>
        <v>336.8540000000001</v>
      </c>
      <c r="K10" s="19">
        <f t="shared" si="3"/>
        <v>233907</v>
      </c>
      <c r="L10" s="19">
        <v>229031</v>
      </c>
      <c r="M10" s="19">
        <f t="shared" si="4"/>
        <v>4876</v>
      </c>
      <c r="N10" s="133"/>
      <c r="O10" s="133"/>
    </row>
    <row r="11" spans="1:15" x14ac:dyDescent="0.25">
      <c r="A11" s="28" t="s">
        <v>69</v>
      </c>
      <c r="B11" s="29" t="s">
        <v>83</v>
      </c>
      <c r="C11" s="19">
        <v>0</v>
      </c>
      <c r="D11" s="19">
        <v>16.753999999999994</v>
      </c>
      <c r="E11" s="19">
        <v>82.445000000000007</v>
      </c>
      <c r="F11" s="19"/>
      <c r="G11" s="19"/>
      <c r="H11" s="19">
        <f t="shared" si="0"/>
        <v>0</v>
      </c>
      <c r="I11" s="19">
        <f t="shared" si="1"/>
        <v>16.753999999999994</v>
      </c>
      <c r="J11" s="19">
        <f t="shared" si="2"/>
        <v>83.769999999999968</v>
      </c>
      <c r="K11" s="19">
        <f t="shared" si="3"/>
        <v>58169</v>
      </c>
      <c r="L11" s="19">
        <v>67442</v>
      </c>
      <c r="M11" s="19">
        <f t="shared" si="4"/>
        <v>-9273</v>
      </c>
      <c r="N11" s="133"/>
      <c r="O11" s="133"/>
    </row>
    <row r="12" spans="1:15" x14ac:dyDescent="0.25">
      <c r="A12" s="28" t="s">
        <v>69</v>
      </c>
      <c r="B12" s="29" t="s">
        <v>605</v>
      </c>
      <c r="C12" s="19">
        <v>209.01399999999992</v>
      </c>
      <c r="D12" s="19">
        <v>95.416000000000054</v>
      </c>
      <c r="E12" s="19">
        <v>683.04500000000007</v>
      </c>
      <c r="F12" s="19"/>
      <c r="G12" s="19"/>
      <c r="H12" s="19">
        <f t="shared" si="0"/>
        <v>209.01399999999992</v>
      </c>
      <c r="I12" s="19">
        <f t="shared" si="1"/>
        <v>95.416000000000054</v>
      </c>
      <c r="J12" s="19">
        <f t="shared" si="2"/>
        <v>686.09400000000016</v>
      </c>
      <c r="K12" s="19">
        <f t="shared" si="3"/>
        <v>476416</v>
      </c>
      <c r="L12" s="19">
        <v>559769</v>
      </c>
      <c r="M12" s="19">
        <f t="shared" si="4"/>
        <v>-83353</v>
      </c>
      <c r="N12" s="133"/>
      <c r="O12" s="133"/>
    </row>
    <row r="13" spans="1:15" x14ac:dyDescent="0.25">
      <c r="A13" s="28" t="s">
        <v>69</v>
      </c>
      <c r="B13" s="29" t="s">
        <v>68</v>
      </c>
      <c r="C13" s="19">
        <v>0</v>
      </c>
      <c r="D13" s="19">
        <v>99.431000000000054</v>
      </c>
      <c r="E13" s="19">
        <v>496.43499999999995</v>
      </c>
      <c r="F13" s="19"/>
      <c r="G13" s="19"/>
      <c r="H13" s="19">
        <f t="shared" si="0"/>
        <v>0</v>
      </c>
      <c r="I13" s="19">
        <f t="shared" si="1"/>
        <v>99.431000000000054</v>
      </c>
      <c r="J13" s="19">
        <f t="shared" si="2"/>
        <v>497.15500000000026</v>
      </c>
      <c r="K13" s="19">
        <f t="shared" si="3"/>
        <v>345219</v>
      </c>
      <c r="L13" s="19">
        <v>339655</v>
      </c>
      <c r="M13" s="19">
        <f t="shared" si="4"/>
        <v>5564</v>
      </c>
      <c r="N13" s="133"/>
      <c r="O13" s="133"/>
    </row>
    <row r="14" spans="1:15" x14ac:dyDescent="0.25">
      <c r="A14" s="28" t="s">
        <v>69</v>
      </c>
      <c r="B14" s="29" t="s">
        <v>470</v>
      </c>
      <c r="C14" s="19">
        <v>84.940000000000097</v>
      </c>
      <c r="D14" s="19">
        <v>34.060000000000009</v>
      </c>
      <c r="E14" s="19">
        <v>254.83699999999999</v>
      </c>
      <c r="F14" s="19"/>
      <c r="G14" s="19"/>
      <c r="H14" s="19">
        <f t="shared" si="0"/>
        <v>84.940000000000097</v>
      </c>
      <c r="I14" s="19">
        <f t="shared" si="1"/>
        <v>34.060000000000009</v>
      </c>
      <c r="J14" s="19">
        <f t="shared" si="2"/>
        <v>255.24000000000012</v>
      </c>
      <c r="K14" s="19">
        <f t="shared" si="3"/>
        <v>177236</v>
      </c>
      <c r="L14" s="19">
        <v>171074</v>
      </c>
      <c r="M14" s="19">
        <f t="shared" si="4"/>
        <v>6162</v>
      </c>
      <c r="N14" s="133"/>
      <c r="O14" s="133"/>
    </row>
    <row r="15" spans="1:15" x14ac:dyDescent="0.25">
      <c r="A15" s="28" t="s">
        <v>69</v>
      </c>
      <c r="B15" s="29" t="s">
        <v>468</v>
      </c>
      <c r="C15" s="19">
        <v>124.27799999999968</v>
      </c>
      <c r="D15" s="19">
        <v>52.521000000000051</v>
      </c>
      <c r="E15" s="19">
        <v>385.88299999999998</v>
      </c>
      <c r="F15" s="19"/>
      <c r="G15" s="19"/>
      <c r="H15" s="19">
        <f t="shared" si="0"/>
        <v>124.27799999999968</v>
      </c>
      <c r="I15" s="19">
        <f t="shared" si="1"/>
        <v>52.521000000000051</v>
      </c>
      <c r="J15" s="19">
        <f t="shared" si="2"/>
        <v>386.88299999999992</v>
      </c>
      <c r="K15" s="19">
        <f t="shared" si="3"/>
        <v>268647</v>
      </c>
      <c r="L15" s="19">
        <v>292537</v>
      </c>
      <c r="M15" s="19">
        <f t="shared" si="4"/>
        <v>-23890</v>
      </c>
      <c r="N15" s="133"/>
      <c r="O15" s="133"/>
    </row>
    <row r="16" spans="1:15" x14ac:dyDescent="0.25">
      <c r="A16" s="28" t="s">
        <v>69</v>
      </c>
      <c r="B16" s="29" t="s">
        <v>466</v>
      </c>
      <c r="C16" s="19">
        <v>62.388999999999996</v>
      </c>
      <c r="D16" s="19">
        <v>44.039000000000016</v>
      </c>
      <c r="E16" s="19">
        <v>282.08199999999999</v>
      </c>
      <c r="F16" s="19"/>
      <c r="G16" s="19"/>
      <c r="H16" s="19">
        <f t="shared" si="0"/>
        <v>62.388999999999996</v>
      </c>
      <c r="I16" s="19">
        <f t="shared" si="1"/>
        <v>44.039000000000016</v>
      </c>
      <c r="J16" s="19">
        <f t="shared" si="2"/>
        <v>282.58400000000006</v>
      </c>
      <c r="K16" s="19">
        <f t="shared" si="3"/>
        <v>196223</v>
      </c>
      <c r="L16" s="19">
        <v>188483</v>
      </c>
      <c r="M16" s="19">
        <f t="shared" si="4"/>
        <v>7740</v>
      </c>
      <c r="N16" s="133"/>
      <c r="O16" s="133"/>
    </row>
    <row r="17" spans="1:15" x14ac:dyDescent="0.25">
      <c r="A17" s="28" t="s">
        <v>69</v>
      </c>
      <c r="B17" s="29" t="s">
        <v>464</v>
      </c>
      <c r="C17" s="19">
        <v>404.10799999999961</v>
      </c>
      <c r="D17" s="19">
        <v>77.916000000000025</v>
      </c>
      <c r="E17" s="19">
        <v>729.971</v>
      </c>
      <c r="F17" s="19"/>
      <c r="G17" s="19"/>
      <c r="H17" s="19">
        <f t="shared" si="0"/>
        <v>404.10799999999961</v>
      </c>
      <c r="I17" s="19">
        <f t="shared" si="1"/>
        <v>77.916000000000025</v>
      </c>
      <c r="J17" s="19">
        <f t="shared" si="2"/>
        <v>793.68799999999976</v>
      </c>
      <c r="K17" s="19">
        <f t="shared" si="3"/>
        <v>551128</v>
      </c>
      <c r="L17" s="19">
        <v>533853</v>
      </c>
      <c r="M17" s="19">
        <f t="shared" si="4"/>
        <v>17275</v>
      </c>
      <c r="N17" s="133"/>
      <c r="O17" s="133"/>
    </row>
    <row r="18" spans="1:15" x14ac:dyDescent="0.25">
      <c r="A18" s="28" t="s">
        <v>69</v>
      </c>
      <c r="B18" s="29" t="s">
        <v>587</v>
      </c>
      <c r="C18" s="19">
        <v>2.7E-2</v>
      </c>
      <c r="D18" s="19">
        <v>1050.0469999999946</v>
      </c>
      <c r="E18" s="19">
        <v>5244.6379999999999</v>
      </c>
      <c r="F18" s="19"/>
      <c r="G18" s="19"/>
      <c r="H18" s="19">
        <f t="shared" si="0"/>
        <v>2.7E-2</v>
      </c>
      <c r="I18" s="19">
        <f t="shared" si="1"/>
        <v>1050.0469999999946</v>
      </c>
      <c r="J18" s="19">
        <f t="shared" si="2"/>
        <v>5250.2619999999733</v>
      </c>
      <c r="K18" s="19">
        <f t="shared" si="3"/>
        <v>3645720</v>
      </c>
      <c r="L18" s="19">
        <v>3492762</v>
      </c>
      <c r="M18" s="19">
        <f t="shared" si="4"/>
        <v>152958</v>
      </c>
      <c r="N18" s="133"/>
      <c r="O18" s="133"/>
    </row>
    <row r="19" spans="1:15" x14ac:dyDescent="0.25">
      <c r="A19" s="28" t="s">
        <v>69</v>
      </c>
      <c r="B19" s="29" t="s">
        <v>460</v>
      </c>
      <c r="C19" s="19">
        <v>144.19900000000024</v>
      </c>
      <c r="D19" s="19">
        <v>43.069000000000024</v>
      </c>
      <c r="E19" s="19">
        <v>358.995</v>
      </c>
      <c r="F19" s="159">
        <v>0</v>
      </c>
      <c r="G19" s="159">
        <v>0</v>
      </c>
      <c r="H19" s="19">
        <f t="shared" si="0"/>
        <v>144.19900000000024</v>
      </c>
      <c r="I19" s="19">
        <f t="shared" si="1"/>
        <v>43.069000000000024</v>
      </c>
      <c r="J19" s="19">
        <f t="shared" si="2"/>
        <v>359.54400000000032</v>
      </c>
      <c r="K19" s="19">
        <f t="shared" si="3"/>
        <v>249663</v>
      </c>
      <c r="L19" s="19">
        <v>255008</v>
      </c>
      <c r="M19" s="19">
        <f t="shared" si="4"/>
        <v>-5345</v>
      </c>
      <c r="N19" s="133"/>
      <c r="O19" s="133"/>
    </row>
    <row r="20" spans="1:15" x14ac:dyDescent="0.25">
      <c r="A20" s="28" t="s">
        <v>67</v>
      </c>
      <c r="B20" s="29" t="s">
        <v>591</v>
      </c>
      <c r="C20" s="19">
        <v>346.73299999999944</v>
      </c>
      <c r="D20" s="19">
        <v>46.992999999999988</v>
      </c>
      <c r="E20" s="19">
        <v>565.03499999999997</v>
      </c>
      <c r="F20" s="158"/>
      <c r="G20" s="158"/>
      <c r="H20" s="19">
        <f t="shared" si="0"/>
        <v>346.73299999999944</v>
      </c>
      <c r="I20" s="19">
        <f t="shared" si="1"/>
        <v>46.992999999999988</v>
      </c>
      <c r="J20" s="19">
        <f t="shared" si="2"/>
        <v>581.69799999999941</v>
      </c>
      <c r="K20" s="19">
        <f t="shared" si="3"/>
        <v>403924</v>
      </c>
      <c r="L20" s="19">
        <v>433528</v>
      </c>
      <c r="M20" s="19">
        <f t="shared" si="4"/>
        <v>-29604</v>
      </c>
      <c r="N20" s="133"/>
      <c r="O20" s="133"/>
    </row>
    <row r="21" spans="1:15" x14ac:dyDescent="0.25">
      <c r="A21" s="28" t="s">
        <v>58</v>
      </c>
      <c r="B21" s="29" t="s">
        <v>592</v>
      </c>
      <c r="C21" s="19">
        <v>224.81499999999977</v>
      </c>
      <c r="D21" s="19">
        <v>23.602999999999998</v>
      </c>
      <c r="E21" s="19">
        <v>342.06599999999997</v>
      </c>
      <c r="F21" s="158">
        <v>6.8979999999999997</v>
      </c>
      <c r="G21" s="158"/>
      <c r="H21" s="19">
        <f t="shared" si="0"/>
        <v>217.91699999999977</v>
      </c>
      <c r="I21" s="19">
        <f t="shared" si="1"/>
        <v>23.602999999999998</v>
      </c>
      <c r="J21" s="19">
        <f t="shared" si="2"/>
        <v>335.93199999999979</v>
      </c>
      <c r="K21" s="19">
        <f t="shared" si="3"/>
        <v>233267</v>
      </c>
      <c r="L21" s="19">
        <v>235497</v>
      </c>
      <c r="M21" s="19">
        <f t="shared" si="4"/>
        <v>-2230</v>
      </c>
      <c r="N21" s="133"/>
      <c r="O21" s="133"/>
    </row>
    <row r="22" spans="1:15" x14ac:dyDescent="0.25">
      <c r="A22" s="28" t="s">
        <v>58</v>
      </c>
      <c r="B22" s="29" t="s">
        <v>434</v>
      </c>
      <c r="C22" s="19">
        <v>39.572999999999972</v>
      </c>
      <c r="D22" s="19">
        <v>62.75</v>
      </c>
      <c r="E22" s="19">
        <v>358.10299999999995</v>
      </c>
      <c r="F22" s="158"/>
      <c r="G22" s="158"/>
      <c r="H22" s="19">
        <f t="shared" si="0"/>
        <v>39.572999999999972</v>
      </c>
      <c r="I22" s="19">
        <f t="shared" si="1"/>
        <v>62.75</v>
      </c>
      <c r="J22" s="19">
        <f t="shared" si="2"/>
        <v>353.32299999999998</v>
      </c>
      <c r="K22" s="19">
        <f t="shared" si="3"/>
        <v>245343</v>
      </c>
      <c r="L22" s="19">
        <v>245580</v>
      </c>
      <c r="M22" s="19">
        <f t="shared" si="4"/>
        <v>-237</v>
      </c>
      <c r="N22" s="133"/>
      <c r="O22" s="133"/>
    </row>
    <row r="23" spans="1:15" x14ac:dyDescent="0.25">
      <c r="A23" s="28" t="s">
        <v>58</v>
      </c>
      <c r="B23" s="29" t="s">
        <v>57</v>
      </c>
      <c r="C23" s="19">
        <v>0</v>
      </c>
      <c r="D23" s="19">
        <v>151.88499999999993</v>
      </c>
      <c r="E23" s="19">
        <v>758.4899999999999</v>
      </c>
      <c r="F23" s="158"/>
      <c r="G23" s="158"/>
      <c r="H23" s="19">
        <f t="shared" si="0"/>
        <v>0</v>
      </c>
      <c r="I23" s="19">
        <f t="shared" si="1"/>
        <v>151.88499999999993</v>
      </c>
      <c r="J23" s="19">
        <f t="shared" si="2"/>
        <v>759.42499999999973</v>
      </c>
      <c r="K23" s="19">
        <f t="shared" si="3"/>
        <v>527336</v>
      </c>
      <c r="L23" s="19">
        <v>537567</v>
      </c>
      <c r="M23" s="19">
        <f t="shared" si="4"/>
        <v>-10231</v>
      </c>
      <c r="N23" s="133"/>
      <c r="O23" s="133"/>
    </row>
    <row r="24" spans="1:15" x14ac:dyDescent="0.25">
      <c r="A24" s="28" t="s">
        <v>58</v>
      </c>
      <c r="B24" s="29" t="s">
        <v>426</v>
      </c>
      <c r="C24" s="19">
        <v>140.17100000000011</v>
      </c>
      <c r="D24" s="19">
        <v>87.677999999999983</v>
      </c>
      <c r="E24" s="19">
        <v>577.71199999999999</v>
      </c>
      <c r="F24" s="158"/>
      <c r="G24" s="158"/>
      <c r="H24" s="19">
        <f t="shared" si="0"/>
        <v>140.17100000000011</v>
      </c>
      <c r="I24" s="19">
        <f t="shared" si="1"/>
        <v>87.677999999999983</v>
      </c>
      <c r="J24" s="19">
        <f t="shared" si="2"/>
        <v>578.56100000000004</v>
      </c>
      <c r="K24" s="19">
        <f t="shared" si="3"/>
        <v>401746</v>
      </c>
      <c r="L24" s="19">
        <v>381232</v>
      </c>
      <c r="M24" s="19">
        <f t="shared" si="4"/>
        <v>20514</v>
      </c>
      <c r="N24" s="133"/>
      <c r="O24" s="133"/>
    </row>
    <row r="25" spans="1:15" x14ac:dyDescent="0.25">
      <c r="A25" s="28" t="s">
        <v>58</v>
      </c>
      <c r="B25" s="29" t="s">
        <v>59</v>
      </c>
      <c r="C25" s="19">
        <v>0</v>
      </c>
      <c r="D25" s="19">
        <v>123.07600000000015</v>
      </c>
      <c r="E25" s="19">
        <v>614.85</v>
      </c>
      <c r="F25" s="158"/>
      <c r="G25" s="158"/>
      <c r="H25" s="19">
        <f t="shared" si="0"/>
        <v>0</v>
      </c>
      <c r="I25" s="19">
        <f t="shared" si="1"/>
        <v>123.07600000000015</v>
      </c>
      <c r="J25" s="19">
        <f t="shared" si="2"/>
        <v>615.38000000000079</v>
      </c>
      <c r="K25" s="19">
        <f t="shared" si="3"/>
        <v>427313</v>
      </c>
      <c r="L25" s="19">
        <v>402979</v>
      </c>
      <c r="M25" s="19">
        <f t="shared" si="4"/>
        <v>24334</v>
      </c>
      <c r="N25" s="133"/>
      <c r="O25" s="133"/>
    </row>
    <row r="26" spans="1:15" x14ac:dyDescent="0.25">
      <c r="A26" s="28" t="s">
        <v>58</v>
      </c>
      <c r="B26" s="29" t="s">
        <v>62</v>
      </c>
      <c r="C26" s="19">
        <v>86.622000000000085</v>
      </c>
      <c r="D26" s="19">
        <v>56.091999999999992</v>
      </c>
      <c r="E26" s="19">
        <v>378.161</v>
      </c>
      <c r="F26" s="158"/>
      <c r="G26" s="158"/>
      <c r="H26" s="19">
        <f t="shared" si="0"/>
        <v>86.622000000000085</v>
      </c>
      <c r="I26" s="19">
        <f t="shared" si="1"/>
        <v>56.091999999999992</v>
      </c>
      <c r="J26" s="19">
        <f t="shared" si="2"/>
        <v>367.08200000000005</v>
      </c>
      <c r="K26" s="19">
        <f t="shared" si="3"/>
        <v>254897</v>
      </c>
      <c r="L26" s="19">
        <v>260193</v>
      </c>
      <c r="M26" s="19">
        <f t="shared" si="4"/>
        <v>-5296</v>
      </c>
      <c r="N26" s="133"/>
      <c r="O26" s="133"/>
    </row>
    <row r="27" spans="1:15" x14ac:dyDescent="0.25">
      <c r="A27" s="28" t="s">
        <v>58</v>
      </c>
      <c r="B27" s="29" t="s">
        <v>61</v>
      </c>
      <c r="C27" s="19">
        <v>0</v>
      </c>
      <c r="D27" s="19">
        <v>22.13600000000001</v>
      </c>
      <c r="E27" s="19">
        <v>110.42</v>
      </c>
      <c r="F27" s="158"/>
      <c r="G27" s="158"/>
      <c r="H27" s="19">
        <f t="shared" si="0"/>
        <v>0</v>
      </c>
      <c r="I27" s="19">
        <f t="shared" si="1"/>
        <v>22.13600000000001</v>
      </c>
      <c r="J27" s="19">
        <f t="shared" si="2"/>
        <v>110.68000000000005</v>
      </c>
      <c r="K27" s="19">
        <f t="shared" si="3"/>
        <v>76855</v>
      </c>
      <c r="L27" s="19">
        <v>104574</v>
      </c>
      <c r="M27" s="19">
        <f t="shared" si="4"/>
        <v>-27719</v>
      </c>
      <c r="N27" s="133"/>
      <c r="O27" s="133"/>
    </row>
    <row r="28" spans="1:15" x14ac:dyDescent="0.25">
      <c r="A28" s="28" t="s">
        <v>58</v>
      </c>
      <c r="B28" s="29" t="s">
        <v>64</v>
      </c>
      <c r="C28" s="19">
        <v>92.007000000000005</v>
      </c>
      <c r="D28" s="19">
        <v>34.199000000000048</v>
      </c>
      <c r="E28" s="19">
        <v>261.95999999999998</v>
      </c>
      <c r="F28" s="158"/>
      <c r="G28" s="158"/>
      <c r="H28" s="19">
        <f t="shared" si="0"/>
        <v>92.007000000000005</v>
      </c>
      <c r="I28" s="19">
        <f t="shared" si="1"/>
        <v>34.199000000000048</v>
      </c>
      <c r="J28" s="19">
        <f t="shared" si="2"/>
        <v>263.00200000000024</v>
      </c>
      <c r="K28" s="19">
        <f t="shared" si="3"/>
        <v>182625</v>
      </c>
      <c r="L28" s="19">
        <v>181811</v>
      </c>
      <c r="M28" s="19">
        <f t="shared" si="4"/>
        <v>814</v>
      </c>
      <c r="N28" s="133"/>
      <c r="O28" s="133"/>
    </row>
    <row r="29" spans="1:15" x14ac:dyDescent="0.25">
      <c r="A29" s="28" t="s">
        <v>55</v>
      </c>
      <c r="B29" s="29" t="s">
        <v>409</v>
      </c>
      <c r="C29" s="19">
        <v>295.1159999999997</v>
      </c>
      <c r="D29" s="19">
        <v>60.295000000000023</v>
      </c>
      <c r="E29" s="19">
        <v>595.56899999999996</v>
      </c>
      <c r="F29" s="158"/>
      <c r="G29" s="158"/>
      <c r="H29" s="19">
        <f t="shared" si="0"/>
        <v>295.1159999999997</v>
      </c>
      <c r="I29" s="19">
        <f t="shared" si="1"/>
        <v>60.295000000000023</v>
      </c>
      <c r="J29" s="19">
        <f t="shared" si="2"/>
        <v>596.59099999999989</v>
      </c>
      <c r="K29" s="19">
        <f t="shared" si="3"/>
        <v>414266</v>
      </c>
      <c r="L29" s="19">
        <v>443723</v>
      </c>
      <c r="M29" s="19">
        <f t="shared" si="4"/>
        <v>-29457</v>
      </c>
      <c r="N29" s="133"/>
      <c r="O29" s="133"/>
    </row>
    <row r="30" spans="1:15" x14ac:dyDescent="0.25">
      <c r="A30" s="28" t="s">
        <v>55</v>
      </c>
      <c r="B30" s="29" t="s">
        <v>593</v>
      </c>
      <c r="C30" s="19">
        <v>181.93999999999986</v>
      </c>
      <c r="D30" s="19">
        <v>41.178000000000026</v>
      </c>
      <c r="E30" s="19">
        <v>387.39699999999999</v>
      </c>
      <c r="F30" s="158"/>
      <c r="G30" s="158"/>
      <c r="H30" s="19">
        <f t="shared" si="0"/>
        <v>181.93999999999986</v>
      </c>
      <c r="I30" s="19">
        <f t="shared" si="1"/>
        <v>41.178000000000026</v>
      </c>
      <c r="J30" s="19">
        <f t="shared" si="2"/>
        <v>387.83</v>
      </c>
      <c r="K30" s="19">
        <f t="shared" si="3"/>
        <v>269305</v>
      </c>
      <c r="L30" s="19">
        <v>278434</v>
      </c>
      <c r="M30" s="19">
        <f t="shared" si="4"/>
        <v>-9129</v>
      </c>
      <c r="N30" s="133"/>
      <c r="O30" s="133"/>
    </row>
    <row r="31" spans="1:15" x14ac:dyDescent="0.25">
      <c r="A31" s="28" t="s">
        <v>55</v>
      </c>
      <c r="B31" s="29" t="s">
        <v>397</v>
      </c>
      <c r="C31" s="19">
        <v>95.271000000000271</v>
      </c>
      <c r="D31" s="19">
        <v>57.674999999999976</v>
      </c>
      <c r="E31" s="19">
        <v>383.52600000000001</v>
      </c>
      <c r="F31" s="158"/>
      <c r="G31" s="158"/>
      <c r="H31" s="19">
        <f t="shared" si="0"/>
        <v>95.271000000000271</v>
      </c>
      <c r="I31" s="19">
        <f t="shared" si="1"/>
        <v>57.674999999999976</v>
      </c>
      <c r="J31" s="19">
        <f t="shared" si="2"/>
        <v>383.64600000000019</v>
      </c>
      <c r="K31" s="19">
        <f t="shared" si="3"/>
        <v>266399</v>
      </c>
      <c r="L31" s="19">
        <v>289585</v>
      </c>
      <c r="M31" s="19">
        <f t="shared" si="4"/>
        <v>-23186</v>
      </c>
      <c r="N31" s="133"/>
      <c r="O31" s="133"/>
    </row>
    <row r="32" spans="1:15" x14ac:dyDescent="0.25">
      <c r="A32" s="28" t="s">
        <v>52</v>
      </c>
      <c r="B32" s="29" t="s">
        <v>594</v>
      </c>
      <c r="C32" s="19">
        <v>506.97899999999635</v>
      </c>
      <c r="D32" s="19">
        <v>43.459000000000024</v>
      </c>
      <c r="E32" s="19">
        <v>723.07099999999991</v>
      </c>
      <c r="F32" s="158"/>
      <c r="G32" s="158"/>
      <c r="H32" s="19">
        <f t="shared" si="0"/>
        <v>506.97899999999635</v>
      </c>
      <c r="I32" s="19">
        <f t="shared" si="1"/>
        <v>43.459000000000024</v>
      </c>
      <c r="J32" s="19">
        <f t="shared" si="2"/>
        <v>724.27399999999648</v>
      </c>
      <c r="K32" s="19">
        <f t="shared" si="3"/>
        <v>502927</v>
      </c>
      <c r="L32" s="19">
        <v>496972</v>
      </c>
      <c r="M32" s="19">
        <f t="shared" si="4"/>
        <v>5955</v>
      </c>
      <c r="N32" s="133"/>
      <c r="O32" s="133"/>
    </row>
    <row r="33" spans="1:15" x14ac:dyDescent="0.25">
      <c r="A33" s="28" t="s">
        <v>52</v>
      </c>
      <c r="B33" s="29" t="s">
        <v>51</v>
      </c>
      <c r="C33" s="19">
        <v>193.37600000000009</v>
      </c>
      <c r="D33" s="19">
        <v>47.069999999999986</v>
      </c>
      <c r="E33" s="19">
        <v>427.24799999999999</v>
      </c>
      <c r="F33" s="158"/>
      <c r="G33" s="158"/>
      <c r="H33" s="19">
        <f t="shared" si="0"/>
        <v>193.37600000000009</v>
      </c>
      <c r="I33" s="19">
        <f t="shared" si="1"/>
        <v>47.069999999999986</v>
      </c>
      <c r="J33" s="19">
        <f t="shared" si="2"/>
        <v>428.726</v>
      </c>
      <c r="K33" s="19">
        <f t="shared" si="3"/>
        <v>297702</v>
      </c>
      <c r="L33" s="19">
        <v>287834</v>
      </c>
      <c r="M33" s="19">
        <f t="shared" si="4"/>
        <v>9868</v>
      </c>
      <c r="N33" s="133"/>
      <c r="O33" s="133"/>
    </row>
    <row r="34" spans="1:15" x14ac:dyDescent="0.25">
      <c r="A34" s="28" t="s">
        <v>52</v>
      </c>
      <c r="B34" s="29" t="s">
        <v>370</v>
      </c>
      <c r="C34" s="19">
        <v>281.75899999999984</v>
      </c>
      <c r="D34" s="19">
        <v>66.937000000000069</v>
      </c>
      <c r="E34" s="19">
        <v>615.971</v>
      </c>
      <c r="F34" s="158"/>
      <c r="G34" s="158"/>
      <c r="H34" s="19">
        <f t="shared" si="0"/>
        <v>281.75899999999984</v>
      </c>
      <c r="I34" s="19">
        <f t="shared" si="1"/>
        <v>66.937000000000069</v>
      </c>
      <c r="J34" s="19">
        <f t="shared" si="2"/>
        <v>616.44400000000019</v>
      </c>
      <c r="K34" s="19">
        <f t="shared" si="3"/>
        <v>428051</v>
      </c>
      <c r="L34" s="19">
        <v>456912</v>
      </c>
      <c r="M34" s="19">
        <f t="shared" si="4"/>
        <v>-28861</v>
      </c>
      <c r="N34" s="133"/>
      <c r="O34" s="133"/>
    </row>
    <row r="35" spans="1:15" x14ac:dyDescent="0.25">
      <c r="A35" s="28" t="s">
        <v>47</v>
      </c>
      <c r="B35" s="29" t="s">
        <v>48</v>
      </c>
      <c r="C35" s="19">
        <v>148.971</v>
      </c>
      <c r="D35" s="19">
        <v>79.966999999999999</v>
      </c>
      <c r="E35" s="19">
        <v>547.93299999999999</v>
      </c>
      <c r="F35" s="158"/>
      <c r="G35" s="158"/>
      <c r="H35" s="19">
        <f t="shared" si="0"/>
        <v>148.971</v>
      </c>
      <c r="I35" s="19">
        <f t="shared" si="1"/>
        <v>79.966999999999999</v>
      </c>
      <c r="J35" s="19">
        <f t="shared" si="2"/>
        <v>548.80600000000004</v>
      </c>
      <c r="K35" s="19">
        <f t="shared" si="3"/>
        <v>381084</v>
      </c>
      <c r="L35" s="19">
        <v>366746</v>
      </c>
      <c r="M35" s="19">
        <f t="shared" si="4"/>
        <v>14338</v>
      </c>
      <c r="N35" s="133"/>
      <c r="O35" s="133"/>
    </row>
    <row r="36" spans="1:15" x14ac:dyDescent="0.25">
      <c r="A36" s="28" t="s">
        <v>47</v>
      </c>
      <c r="B36" s="29" t="s">
        <v>353</v>
      </c>
      <c r="C36" s="19">
        <v>626.36099999999726</v>
      </c>
      <c r="D36" s="19">
        <v>18.517000000000003</v>
      </c>
      <c r="E36" s="19">
        <v>718.79300000000001</v>
      </c>
      <c r="F36" s="158"/>
      <c r="G36" s="158"/>
      <c r="H36" s="19">
        <f t="shared" si="0"/>
        <v>626.36099999999726</v>
      </c>
      <c r="I36" s="19">
        <f t="shared" si="1"/>
        <v>18.517000000000003</v>
      </c>
      <c r="J36" s="19">
        <f t="shared" si="2"/>
        <v>718.9459999999973</v>
      </c>
      <c r="K36" s="19">
        <f t="shared" si="3"/>
        <v>499228</v>
      </c>
      <c r="L36" s="19">
        <v>514134</v>
      </c>
      <c r="M36" s="19">
        <f t="shared" si="4"/>
        <v>-14906</v>
      </c>
      <c r="N36" s="133"/>
      <c r="O36" s="133"/>
    </row>
    <row r="37" spans="1:15" x14ac:dyDescent="0.25">
      <c r="A37" s="28" t="s">
        <v>47</v>
      </c>
      <c r="B37" s="29" t="s">
        <v>349</v>
      </c>
      <c r="C37" s="19">
        <v>37.047000000000011</v>
      </c>
      <c r="D37" s="19">
        <v>0</v>
      </c>
      <c r="E37" s="19">
        <v>35.47</v>
      </c>
      <c r="F37" s="158"/>
      <c r="G37" s="158"/>
      <c r="H37" s="19">
        <f t="shared" si="0"/>
        <v>37.047000000000011</v>
      </c>
      <c r="I37" s="19">
        <f t="shared" si="1"/>
        <v>0</v>
      </c>
      <c r="J37" s="19">
        <f t="shared" si="2"/>
        <v>37.047000000000011</v>
      </c>
      <c r="K37" s="19">
        <f t="shared" si="3"/>
        <v>25725</v>
      </c>
      <c r="L37" s="19">
        <v>23177</v>
      </c>
      <c r="M37" s="19">
        <f t="shared" si="4"/>
        <v>2548</v>
      </c>
      <c r="N37" s="133"/>
      <c r="O37" s="133"/>
    </row>
    <row r="38" spans="1:15" x14ac:dyDescent="0.25">
      <c r="A38" s="28" t="s">
        <v>38</v>
      </c>
      <c r="B38" s="29" t="s">
        <v>344</v>
      </c>
      <c r="C38" s="19">
        <v>154.54000000000013</v>
      </c>
      <c r="D38" s="19">
        <v>21.367000000000012</v>
      </c>
      <c r="E38" s="19">
        <v>262.084</v>
      </c>
      <c r="F38" s="158"/>
      <c r="G38" s="158"/>
      <c r="H38" s="19">
        <f t="shared" si="0"/>
        <v>154.54000000000013</v>
      </c>
      <c r="I38" s="19">
        <f t="shared" si="1"/>
        <v>21.367000000000012</v>
      </c>
      <c r="J38" s="19">
        <f t="shared" si="2"/>
        <v>261.37500000000023</v>
      </c>
      <c r="K38" s="19">
        <f t="shared" si="3"/>
        <v>181496</v>
      </c>
      <c r="L38" s="19">
        <v>198428</v>
      </c>
      <c r="M38" s="19">
        <f t="shared" si="4"/>
        <v>-16932</v>
      </c>
      <c r="N38" s="133"/>
      <c r="O38" s="133"/>
    </row>
    <row r="39" spans="1:15" x14ac:dyDescent="0.25">
      <c r="A39" s="28" t="s">
        <v>38</v>
      </c>
      <c r="B39" s="29" t="s">
        <v>342</v>
      </c>
      <c r="C39" s="19">
        <v>97.677000000000049</v>
      </c>
      <c r="D39" s="19">
        <v>22.383000000000003</v>
      </c>
      <c r="E39" s="19">
        <v>209.41300000000001</v>
      </c>
      <c r="F39" s="158"/>
      <c r="G39" s="158"/>
      <c r="H39" s="19">
        <f t="shared" si="0"/>
        <v>97.677000000000049</v>
      </c>
      <c r="I39" s="19">
        <f t="shared" si="1"/>
        <v>22.383000000000003</v>
      </c>
      <c r="J39" s="19">
        <f t="shared" si="2"/>
        <v>209.59200000000007</v>
      </c>
      <c r="K39" s="19">
        <f t="shared" si="3"/>
        <v>145538</v>
      </c>
      <c r="L39" s="19">
        <v>140329</v>
      </c>
      <c r="M39" s="19">
        <f t="shared" si="4"/>
        <v>5209</v>
      </c>
      <c r="N39" s="133"/>
      <c r="O39" s="133"/>
    </row>
    <row r="40" spans="1:15" x14ac:dyDescent="0.25">
      <c r="A40" s="28" t="s">
        <v>38</v>
      </c>
      <c r="B40" s="29" t="s">
        <v>336</v>
      </c>
      <c r="C40" s="19">
        <v>152.75299999999982</v>
      </c>
      <c r="D40" s="19">
        <v>23.677000000000003</v>
      </c>
      <c r="E40" s="19">
        <v>270.64999999999998</v>
      </c>
      <c r="F40" s="158"/>
      <c r="G40" s="158"/>
      <c r="H40" s="19">
        <f t="shared" si="0"/>
        <v>152.75299999999982</v>
      </c>
      <c r="I40" s="19">
        <f t="shared" si="1"/>
        <v>23.677000000000003</v>
      </c>
      <c r="J40" s="19">
        <f t="shared" si="2"/>
        <v>271.13799999999981</v>
      </c>
      <c r="K40" s="19">
        <f t="shared" si="3"/>
        <v>188275</v>
      </c>
      <c r="L40" s="19">
        <v>202907</v>
      </c>
      <c r="M40" s="19">
        <f t="shared" si="4"/>
        <v>-14632</v>
      </c>
      <c r="N40" s="133"/>
      <c r="O40" s="133"/>
    </row>
    <row r="41" spans="1:15" x14ac:dyDescent="0.25">
      <c r="A41" s="28" t="s">
        <v>38</v>
      </c>
      <c r="B41" s="29" t="s">
        <v>37</v>
      </c>
      <c r="C41" s="19">
        <v>0</v>
      </c>
      <c r="D41" s="19">
        <v>94.182999999999851</v>
      </c>
      <c r="E41" s="19">
        <v>470.48499999999996</v>
      </c>
      <c r="F41" s="158"/>
      <c r="G41" s="158"/>
      <c r="H41" s="19">
        <f t="shared" si="0"/>
        <v>0</v>
      </c>
      <c r="I41" s="19">
        <f t="shared" si="1"/>
        <v>94.182999999999851</v>
      </c>
      <c r="J41" s="19">
        <f t="shared" si="2"/>
        <v>470.91499999999928</v>
      </c>
      <c r="K41" s="19">
        <f t="shared" si="3"/>
        <v>326998</v>
      </c>
      <c r="L41" s="19">
        <v>315270</v>
      </c>
      <c r="M41" s="19">
        <f t="shared" si="4"/>
        <v>11728</v>
      </c>
      <c r="N41" s="133"/>
      <c r="O41" s="133"/>
    </row>
    <row r="42" spans="1:15" x14ac:dyDescent="0.25">
      <c r="A42" s="28" t="s">
        <v>38</v>
      </c>
      <c r="B42" s="29" t="s">
        <v>328</v>
      </c>
      <c r="C42" s="19">
        <v>224.35300000000018</v>
      </c>
      <c r="D42" s="19">
        <v>89.970999999999989</v>
      </c>
      <c r="E42" s="19">
        <v>673.904</v>
      </c>
      <c r="F42" s="158"/>
      <c r="G42" s="158"/>
      <c r="H42" s="19">
        <f t="shared" si="0"/>
        <v>224.35300000000018</v>
      </c>
      <c r="I42" s="19">
        <f t="shared" si="1"/>
        <v>89.970999999999989</v>
      </c>
      <c r="J42" s="19">
        <f t="shared" si="2"/>
        <v>674.20800000000008</v>
      </c>
      <c r="K42" s="19">
        <f t="shared" si="3"/>
        <v>468162</v>
      </c>
      <c r="L42" s="19">
        <v>457812</v>
      </c>
      <c r="M42" s="19">
        <f t="shared" si="4"/>
        <v>10350</v>
      </c>
      <c r="N42" s="133"/>
      <c r="O42" s="133"/>
    </row>
    <row r="43" spans="1:15" x14ac:dyDescent="0.25">
      <c r="A43" s="28" t="s">
        <v>38</v>
      </c>
      <c r="B43" s="29" t="s">
        <v>324</v>
      </c>
      <c r="C43" s="19">
        <v>366.85699999999912</v>
      </c>
      <c r="D43" s="19">
        <v>57.374999999999986</v>
      </c>
      <c r="E43" s="19">
        <v>659.04</v>
      </c>
      <c r="F43" s="158"/>
      <c r="G43" s="158"/>
      <c r="H43" s="19">
        <f t="shared" si="0"/>
        <v>366.85699999999912</v>
      </c>
      <c r="I43" s="19">
        <f t="shared" si="1"/>
        <v>57.374999999999986</v>
      </c>
      <c r="J43" s="19">
        <f t="shared" si="2"/>
        <v>653.73199999999906</v>
      </c>
      <c r="K43" s="19">
        <f t="shared" si="3"/>
        <v>453944</v>
      </c>
      <c r="L43" s="19">
        <v>482688</v>
      </c>
      <c r="M43" s="19">
        <f t="shared" si="4"/>
        <v>-28744</v>
      </c>
      <c r="N43" s="133"/>
      <c r="O43" s="133"/>
    </row>
    <row r="44" spans="1:15" x14ac:dyDescent="0.25">
      <c r="A44" s="28" t="s">
        <v>38</v>
      </c>
      <c r="B44" s="29" t="s">
        <v>322</v>
      </c>
      <c r="C44" s="19">
        <v>89.674000000000078</v>
      </c>
      <c r="D44" s="19">
        <v>49.480000000000011</v>
      </c>
      <c r="E44" s="19">
        <v>336.62800000000004</v>
      </c>
      <c r="F44" s="158"/>
      <c r="G44" s="158"/>
      <c r="H44" s="19">
        <f t="shared" si="0"/>
        <v>89.674000000000078</v>
      </c>
      <c r="I44" s="19">
        <f t="shared" si="1"/>
        <v>49.480000000000011</v>
      </c>
      <c r="J44" s="19">
        <f t="shared" si="2"/>
        <v>337.07400000000013</v>
      </c>
      <c r="K44" s="19">
        <f t="shared" si="3"/>
        <v>234060</v>
      </c>
      <c r="L44" s="19">
        <v>245232</v>
      </c>
      <c r="M44" s="19">
        <f t="shared" si="4"/>
        <v>-11172</v>
      </c>
      <c r="N44" s="133"/>
      <c r="O44" s="133"/>
    </row>
    <row r="45" spans="1:15" x14ac:dyDescent="0.25">
      <c r="A45" s="28" t="s">
        <v>38</v>
      </c>
      <c r="B45" s="29" t="s">
        <v>320</v>
      </c>
      <c r="C45" s="19">
        <v>280.28699999999947</v>
      </c>
      <c r="D45" s="19">
        <v>40.959000000000017</v>
      </c>
      <c r="E45" s="19">
        <v>484.74700000000001</v>
      </c>
      <c r="F45" s="158"/>
      <c r="G45" s="158"/>
      <c r="H45" s="19">
        <f t="shared" si="0"/>
        <v>280.28699999999947</v>
      </c>
      <c r="I45" s="19">
        <f t="shared" si="1"/>
        <v>40.959000000000017</v>
      </c>
      <c r="J45" s="19">
        <f t="shared" si="2"/>
        <v>485.08199999999954</v>
      </c>
      <c r="K45" s="19">
        <f t="shared" si="3"/>
        <v>336835</v>
      </c>
      <c r="L45" s="19">
        <v>320132</v>
      </c>
      <c r="M45" s="19">
        <f t="shared" si="4"/>
        <v>16703</v>
      </c>
      <c r="N45" s="133"/>
      <c r="O45" s="133"/>
    </row>
    <row r="46" spans="1:15" x14ac:dyDescent="0.25">
      <c r="A46" s="28" t="s">
        <v>35</v>
      </c>
      <c r="B46" s="29" t="s">
        <v>316</v>
      </c>
      <c r="C46" s="19">
        <v>235.28400000000022</v>
      </c>
      <c r="D46" s="19">
        <v>6.7710000000000017</v>
      </c>
      <c r="E46" s="19">
        <v>268.899</v>
      </c>
      <c r="F46" s="158"/>
      <c r="G46" s="158"/>
      <c r="H46" s="19">
        <f t="shared" si="0"/>
        <v>235.28400000000022</v>
      </c>
      <c r="I46" s="19">
        <f t="shared" si="1"/>
        <v>6.7710000000000017</v>
      </c>
      <c r="J46" s="19">
        <f t="shared" si="2"/>
        <v>269.13900000000024</v>
      </c>
      <c r="K46" s="19">
        <f t="shared" si="3"/>
        <v>186887</v>
      </c>
      <c r="L46" s="19">
        <v>182496</v>
      </c>
      <c r="M46" s="19">
        <f t="shared" si="4"/>
        <v>4391</v>
      </c>
      <c r="N46" s="133"/>
      <c r="O46" s="133"/>
    </row>
    <row r="47" spans="1:15" x14ac:dyDescent="0.25">
      <c r="A47" s="28" t="s">
        <v>35</v>
      </c>
      <c r="B47" s="29" t="s">
        <v>304</v>
      </c>
      <c r="C47" s="19">
        <v>438.80199999999843</v>
      </c>
      <c r="D47" s="19">
        <v>51.234999999999978</v>
      </c>
      <c r="E47" s="19">
        <v>692.68200000000002</v>
      </c>
      <c r="F47" s="158"/>
      <c r="G47" s="158"/>
      <c r="H47" s="19">
        <f t="shared" si="0"/>
        <v>438.80199999999843</v>
      </c>
      <c r="I47" s="19">
        <f t="shared" si="1"/>
        <v>51.234999999999978</v>
      </c>
      <c r="J47" s="19">
        <f t="shared" si="2"/>
        <v>694.97699999999827</v>
      </c>
      <c r="K47" s="19">
        <f t="shared" si="3"/>
        <v>482584</v>
      </c>
      <c r="L47" s="19">
        <v>469236</v>
      </c>
      <c r="M47" s="19">
        <f t="shared" si="4"/>
        <v>13348</v>
      </c>
      <c r="N47" s="133"/>
      <c r="O47" s="133"/>
    </row>
    <row r="48" spans="1:15" x14ac:dyDescent="0.25">
      <c r="A48" s="28" t="s">
        <v>35</v>
      </c>
      <c r="B48" s="29" t="s">
        <v>302</v>
      </c>
      <c r="C48" s="19">
        <v>201.03100000000018</v>
      </c>
      <c r="D48" s="19">
        <v>29.803000000000022</v>
      </c>
      <c r="E48" s="19">
        <v>349.43799999999999</v>
      </c>
      <c r="F48" s="158"/>
      <c r="G48" s="158"/>
      <c r="H48" s="19">
        <f t="shared" si="0"/>
        <v>201.03100000000018</v>
      </c>
      <c r="I48" s="19">
        <f t="shared" si="1"/>
        <v>29.803000000000022</v>
      </c>
      <c r="J48" s="19">
        <f t="shared" si="2"/>
        <v>350.04600000000028</v>
      </c>
      <c r="K48" s="19">
        <f t="shared" si="3"/>
        <v>243068</v>
      </c>
      <c r="L48" s="19">
        <v>237285</v>
      </c>
      <c r="M48" s="19">
        <f t="shared" si="4"/>
        <v>5783</v>
      </c>
      <c r="N48" s="133"/>
      <c r="O48" s="133"/>
    </row>
    <row r="49" spans="1:15" x14ac:dyDescent="0.25">
      <c r="A49" s="28" t="s">
        <v>28</v>
      </c>
      <c r="B49" s="29" t="s">
        <v>283</v>
      </c>
      <c r="C49" s="19">
        <v>204.71899999999997</v>
      </c>
      <c r="D49" s="19">
        <v>17.864999999999995</v>
      </c>
      <c r="E49" s="19">
        <v>293.93900000000002</v>
      </c>
      <c r="F49" s="158"/>
      <c r="G49" s="158"/>
      <c r="H49" s="19">
        <f t="shared" si="0"/>
        <v>204.71899999999997</v>
      </c>
      <c r="I49" s="19">
        <f t="shared" si="1"/>
        <v>17.864999999999995</v>
      </c>
      <c r="J49" s="19">
        <f t="shared" si="2"/>
        <v>294.04399999999993</v>
      </c>
      <c r="K49" s="19">
        <f t="shared" si="3"/>
        <v>204181</v>
      </c>
      <c r="L49" s="19">
        <v>196217</v>
      </c>
      <c r="M49" s="19">
        <f t="shared" si="4"/>
        <v>7964</v>
      </c>
      <c r="N49" s="133"/>
      <c r="O49" s="133"/>
    </row>
    <row r="50" spans="1:15" x14ac:dyDescent="0.25">
      <c r="A50" s="28" t="s">
        <v>28</v>
      </c>
      <c r="B50" s="29" t="s">
        <v>281</v>
      </c>
      <c r="C50" s="19">
        <v>27.361000000000008</v>
      </c>
      <c r="D50" s="19">
        <v>0</v>
      </c>
      <c r="E50" s="19">
        <v>27.346</v>
      </c>
      <c r="F50" s="158">
        <v>0.93200000000000005</v>
      </c>
      <c r="G50" s="158"/>
      <c r="H50" s="19">
        <f t="shared" si="0"/>
        <v>26.429000000000009</v>
      </c>
      <c r="I50" s="19">
        <f t="shared" si="1"/>
        <v>0</v>
      </c>
      <c r="J50" s="19">
        <f t="shared" si="2"/>
        <v>26.429000000000009</v>
      </c>
      <c r="K50" s="19">
        <f t="shared" si="3"/>
        <v>18352</v>
      </c>
      <c r="L50" s="19">
        <v>17644</v>
      </c>
      <c r="M50" s="19">
        <f t="shared" si="4"/>
        <v>708</v>
      </c>
      <c r="N50" s="133"/>
      <c r="O50" s="133"/>
    </row>
    <row r="51" spans="1:15" x14ac:dyDescent="0.25">
      <c r="A51" s="28" t="s">
        <v>28</v>
      </c>
      <c r="B51" s="29" t="s">
        <v>595</v>
      </c>
      <c r="C51" s="19">
        <v>439.73299999999938</v>
      </c>
      <c r="D51" s="19">
        <v>33.274000000000015</v>
      </c>
      <c r="E51" s="19">
        <v>605.42200000000003</v>
      </c>
      <c r="F51" s="158"/>
      <c r="G51" s="158"/>
      <c r="H51" s="19">
        <f t="shared" si="0"/>
        <v>439.73299999999938</v>
      </c>
      <c r="I51" s="19">
        <f t="shared" si="1"/>
        <v>33.274000000000015</v>
      </c>
      <c r="J51" s="19">
        <f t="shared" si="2"/>
        <v>606.10299999999938</v>
      </c>
      <c r="K51" s="19">
        <f t="shared" si="3"/>
        <v>420871</v>
      </c>
      <c r="L51" s="19">
        <v>409773</v>
      </c>
      <c r="M51" s="19">
        <f t="shared" si="4"/>
        <v>11098</v>
      </c>
      <c r="N51" s="133"/>
      <c r="O51" s="133"/>
    </row>
    <row r="52" spans="1:15" x14ac:dyDescent="0.25">
      <c r="A52" s="28" t="s">
        <v>28</v>
      </c>
      <c r="B52" s="29" t="s">
        <v>596</v>
      </c>
      <c r="C52" s="19">
        <v>234.02899999999988</v>
      </c>
      <c r="D52" s="19">
        <v>46.031000000000027</v>
      </c>
      <c r="E52" s="19">
        <v>463.68200000000002</v>
      </c>
      <c r="F52" s="158"/>
      <c r="G52" s="158"/>
      <c r="H52" s="19">
        <f t="shared" si="0"/>
        <v>234.02899999999988</v>
      </c>
      <c r="I52" s="19">
        <f t="shared" si="1"/>
        <v>46.031000000000027</v>
      </c>
      <c r="J52" s="19">
        <f t="shared" si="2"/>
        <v>464.18400000000003</v>
      </c>
      <c r="K52" s="19">
        <f t="shared" si="3"/>
        <v>322324</v>
      </c>
      <c r="L52" s="19">
        <v>305920</v>
      </c>
      <c r="M52" s="19">
        <f t="shared" si="4"/>
        <v>16404</v>
      </c>
      <c r="N52" s="133"/>
      <c r="O52" s="133"/>
    </row>
    <row r="53" spans="1:15" x14ac:dyDescent="0.25">
      <c r="A53" s="28" t="s">
        <v>28</v>
      </c>
      <c r="B53" s="29" t="s">
        <v>30</v>
      </c>
      <c r="C53" s="19">
        <v>275.35200000000009</v>
      </c>
      <c r="D53" s="19">
        <v>272.1039999999997</v>
      </c>
      <c r="E53" s="19">
        <v>1635.23</v>
      </c>
      <c r="F53" s="158"/>
      <c r="G53" s="158"/>
      <c r="H53" s="19">
        <f t="shared" si="0"/>
        <v>275.35200000000009</v>
      </c>
      <c r="I53" s="19">
        <f t="shared" si="1"/>
        <v>272.1039999999997</v>
      </c>
      <c r="J53" s="19">
        <f t="shared" si="2"/>
        <v>1635.8719999999987</v>
      </c>
      <c r="K53" s="19">
        <f t="shared" si="3"/>
        <v>1135930</v>
      </c>
      <c r="L53" s="19">
        <v>1081488</v>
      </c>
      <c r="M53" s="19">
        <f t="shared" si="4"/>
        <v>54442</v>
      </c>
      <c r="N53" s="133"/>
      <c r="O53" s="133"/>
    </row>
    <row r="54" spans="1:15" x14ac:dyDescent="0.25">
      <c r="A54" s="28" t="s">
        <v>28</v>
      </c>
      <c r="B54" s="29" t="s">
        <v>275</v>
      </c>
      <c r="C54" s="19">
        <v>182.01700000000014</v>
      </c>
      <c r="D54" s="19">
        <v>32.123000000000012</v>
      </c>
      <c r="E54" s="19">
        <v>342.37</v>
      </c>
      <c r="F54" s="158"/>
      <c r="G54" s="158"/>
      <c r="H54" s="19">
        <f t="shared" si="0"/>
        <v>182.01700000000014</v>
      </c>
      <c r="I54" s="19">
        <f t="shared" si="1"/>
        <v>32.123000000000012</v>
      </c>
      <c r="J54" s="19">
        <f t="shared" si="2"/>
        <v>342.63200000000018</v>
      </c>
      <c r="K54" s="19">
        <f t="shared" si="3"/>
        <v>237920</v>
      </c>
      <c r="L54" s="19">
        <v>227250</v>
      </c>
      <c r="M54" s="19">
        <f t="shared" si="4"/>
        <v>10670</v>
      </c>
      <c r="N54" s="133"/>
      <c r="O54" s="133"/>
    </row>
    <row r="55" spans="1:15" x14ac:dyDescent="0.25">
      <c r="A55" s="28" t="s">
        <v>28</v>
      </c>
      <c r="B55" s="29" t="s">
        <v>265</v>
      </c>
      <c r="C55" s="19">
        <v>291.32199999999921</v>
      </c>
      <c r="D55" s="19">
        <v>60.822000000000045</v>
      </c>
      <c r="E55" s="19">
        <v>594.952</v>
      </c>
      <c r="F55" s="158">
        <v>3.21</v>
      </c>
      <c r="G55" s="158"/>
      <c r="H55" s="19">
        <f t="shared" si="0"/>
        <v>288.11199999999923</v>
      </c>
      <c r="I55" s="19">
        <f t="shared" si="1"/>
        <v>60.822000000000045</v>
      </c>
      <c r="J55" s="19">
        <f t="shared" si="2"/>
        <v>592.22199999999953</v>
      </c>
      <c r="K55" s="19">
        <f t="shared" si="3"/>
        <v>411232</v>
      </c>
      <c r="L55" s="19">
        <v>391063</v>
      </c>
      <c r="M55" s="19">
        <f t="shared" si="4"/>
        <v>20169</v>
      </c>
      <c r="N55" s="133"/>
      <c r="O55" s="133"/>
    </row>
    <row r="56" spans="1:15" x14ac:dyDescent="0.25">
      <c r="A56" s="28" t="s">
        <v>24</v>
      </c>
      <c r="B56" s="29" t="s">
        <v>249</v>
      </c>
      <c r="C56" s="19">
        <v>147.76599999999991</v>
      </c>
      <c r="D56" s="19">
        <v>43.106000000000044</v>
      </c>
      <c r="E56" s="19">
        <v>362.55900000000003</v>
      </c>
      <c r="F56" s="158"/>
      <c r="G56" s="158"/>
      <c r="H56" s="19">
        <f t="shared" si="0"/>
        <v>147.76599999999991</v>
      </c>
      <c r="I56" s="19">
        <f t="shared" si="1"/>
        <v>43.106000000000044</v>
      </c>
      <c r="J56" s="19">
        <f t="shared" si="2"/>
        <v>363.29600000000016</v>
      </c>
      <c r="K56" s="19">
        <f t="shared" si="3"/>
        <v>252268</v>
      </c>
      <c r="L56" s="19">
        <v>252178</v>
      </c>
      <c r="M56" s="19">
        <f t="shared" si="4"/>
        <v>90</v>
      </c>
      <c r="N56" s="133"/>
      <c r="O56" s="133"/>
    </row>
    <row r="57" spans="1:15" x14ac:dyDescent="0.25">
      <c r="A57" s="28" t="s">
        <v>24</v>
      </c>
      <c r="B57" s="29" t="s">
        <v>247</v>
      </c>
      <c r="C57" s="19">
        <v>138.53699999999992</v>
      </c>
      <c r="D57" s="19">
        <v>85.845000000000098</v>
      </c>
      <c r="E57" s="19">
        <v>566.798</v>
      </c>
      <c r="F57" s="158"/>
      <c r="G57" s="158"/>
      <c r="H57" s="19">
        <f t="shared" si="0"/>
        <v>138.53699999999992</v>
      </c>
      <c r="I57" s="19">
        <f t="shared" si="1"/>
        <v>85.845000000000098</v>
      </c>
      <c r="J57" s="19">
        <f t="shared" si="2"/>
        <v>567.7620000000004</v>
      </c>
      <c r="K57" s="19">
        <f t="shared" si="3"/>
        <v>394247</v>
      </c>
      <c r="L57" s="19">
        <v>374938</v>
      </c>
      <c r="M57" s="19">
        <f t="shared" si="4"/>
        <v>19309</v>
      </c>
      <c r="N57" s="133"/>
      <c r="O57" s="133"/>
    </row>
    <row r="58" spans="1:15" x14ac:dyDescent="0.25">
      <c r="A58" s="28" t="s">
        <v>24</v>
      </c>
      <c r="B58" s="29" t="s">
        <v>243</v>
      </c>
      <c r="C58" s="19">
        <v>549.79299999999807</v>
      </c>
      <c r="D58" s="19">
        <v>28.359000000000005</v>
      </c>
      <c r="E58" s="19">
        <v>690.77599999999995</v>
      </c>
      <c r="F58" s="158"/>
      <c r="G58" s="158"/>
      <c r="H58" s="19">
        <f t="shared" si="0"/>
        <v>549.79299999999807</v>
      </c>
      <c r="I58" s="19">
        <f t="shared" si="1"/>
        <v>28.359000000000005</v>
      </c>
      <c r="J58" s="19">
        <f t="shared" si="2"/>
        <v>691.58799999999815</v>
      </c>
      <c r="K58" s="19">
        <f t="shared" si="3"/>
        <v>480231</v>
      </c>
      <c r="L58" s="19">
        <v>469173</v>
      </c>
      <c r="M58" s="19">
        <f t="shared" si="4"/>
        <v>11058</v>
      </c>
      <c r="N58" s="133"/>
      <c r="O58" s="133"/>
    </row>
    <row r="59" spans="1:15" x14ac:dyDescent="0.25">
      <c r="A59" s="28" t="s">
        <v>24</v>
      </c>
      <c r="B59" s="29" t="s">
        <v>239</v>
      </c>
      <c r="C59" s="19">
        <v>331.10499999999973</v>
      </c>
      <c r="D59" s="19">
        <v>46.837000000000018</v>
      </c>
      <c r="E59" s="19">
        <v>564.34400000000005</v>
      </c>
      <c r="F59" s="158"/>
      <c r="G59" s="158"/>
      <c r="H59" s="19">
        <f t="shared" si="0"/>
        <v>331.10499999999973</v>
      </c>
      <c r="I59" s="19">
        <f t="shared" si="1"/>
        <v>46.837000000000018</v>
      </c>
      <c r="J59" s="19">
        <f t="shared" si="2"/>
        <v>565.28999999999985</v>
      </c>
      <c r="K59" s="19">
        <f t="shared" si="3"/>
        <v>392531</v>
      </c>
      <c r="L59" s="19">
        <v>384869</v>
      </c>
      <c r="M59" s="19">
        <f t="shared" si="4"/>
        <v>7662</v>
      </c>
      <c r="N59" s="133"/>
      <c r="O59" s="133"/>
    </row>
    <row r="60" spans="1:15" x14ac:dyDescent="0.25">
      <c r="A60" s="28" t="s">
        <v>20</v>
      </c>
      <c r="B60" s="29" t="s">
        <v>225</v>
      </c>
      <c r="C60" s="19">
        <v>131.45700000000011</v>
      </c>
      <c r="D60" s="19">
        <v>0</v>
      </c>
      <c r="E60" s="19">
        <v>131.28</v>
      </c>
      <c r="F60" s="158"/>
      <c r="G60" s="158"/>
      <c r="H60" s="19">
        <f t="shared" si="0"/>
        <v>131.45700000000011</v>
      </c>
      <c r="I60" s="19">
        <f t="shared" si="1"/>
        <v>0</v>
      </c>
      <c r="J60" s="19">
        <f t="shared" si="2"/>
        <v>131.45700000000011</v>
      </c>
      <c r="K60" s="19">
        <f t="shared" si="3"/>
        <v>91282</v>
      </c>
      <c r="L60" s="19">
        <v>87644</v>
      </c>
      <c r="M60" s="19">
        <f t="shared" si="4"/>
        <v>3638</v>
      </c>
      <c r="N60" s="133"/>
      <c r="O60" s="133"/>
    </row>
    <row r="61" spans="1:15" x14ac:dyDescent="0.25">
      <c r="A61" s="32" t="s">
        <v>20</v>
      </c>
      <c r="B61" s="29" t="s">
        <v>215</v>
      </c>
      <c r="C61" s="19">
        <v>1.7</v>
      </c>
      <c r="D61" s="19">
        <v>0</v>
      </c>
      <c r="E61" s="19">
        <v>1.7</v>
      </c>
      <c r="F61" s="158"/>
      <c r="G61" s="158"/>
      <c r="H61" s="19">
        <f t="shared" si="0"/>
        <v>1.7</v>
      </c>
      <c r="I61" s="19">
        <f t="shared" si="1"/>
        <v>0</v>
      </c>
      <c r="J61" s="19">
        <f t="shared" si="2"/>
        <v>1.7</v>
      </c>
      <c r="K61" s="19">
        <f t="shared" si="3"/>
        <v>1180</v>
      </c>
      <c r="L61" s="19">
        <v>1119</v>
      </c>
      <c r="M61" s="19">
        <f t="shared" si="4"/>
        <v>61</v>
      </c>
      <c r="N61" s="133"/>
      <c r="O61" s="133"/>
    </row>
    <row r="62" spans="1:15" x14ac:dyDescent="0.25">
      <c r="A62" s="32" t="s">
        <v>20</v>
      </c>
      <c r="B62" s="29" t="s">
        <v>597</v>
      </c>
      <c r="C62" s="19">
        <v>1130.1959999999924</v>
      </c>
      <c r="D62" s="19">
        <v>132.91800000000012</v>
      </c>
      <c r="E62" s="19">
        <v>1794.4840000000002</v>
      </c>
      <c r="F62" s="158"/>
      <c r="G62" s="158"/>
      <c r="H62" s="19">
        <f t="shared" si="0"/>
        <v>1130.1959999999924</v>
      </c>
      <c r="I62" s="19">
        <f t="shared" si="1"/>
        <v>132.91800000000012</v>
      </c>
      <c r="J62" s="19">
        <f t="shared" si="2"/>
        <v>1794.785999999993</v>
      </c>
      <c r="K62" s="19">
        <f t="shared" si="3"/>
        <v>1246278</v>
      </c>
      <c r="L62" s="19">
        <v>1273341</v>
      </c>
      <c r="M62" s="19">
        <f t="shared" si="4"/>
        <v>-27063</v>
      </c>
      <c r="N62" s="133"/>
      <c r="O62" s="133"/>
    </row>
    <row r="63" spans="1:15" x14ac:dyDescent="0.25">
      <c r="A63" s="28" t="s">
        <v>13</v>
      </c>
      <c r="B63" s="29" t="s">
        <v>598</v>
      </c>
      <c r="C63" s="19">
        <v>429.1179999999996</v>
      </c>
      <c r="D63" s="19">
        <v>91.278000000000048</v>
      </c>
      <c r="E63" s="19">
        <v>883.13100000000009</v>
      </c>
      <c r="F63" s="158"/>
      <c r="G63" s="158"/>
      <c r="H63" s="19">
        <f t="shared" si="0"/>
        <v>429.1179999999996</v>
      </c>
      <c r="I63" s="19">
        <f t="shared" si="1"/>
        <v>91.278000000000048</v>
      </c>
      <c r="J63" s="19">
        <f t="shared" si="2"/>
        <v>885.50799999999981</v>
      </c>
      <c r="K63" s="19">
        <f t="shared" si="3"/>
        <v>614886</v>
      </c>
      <c r="L63" s="19">
        <v>642819</v>
      </c>
      <c r="M63" s="19">
        <f t="shared" si="4"/>
        <v>-27933</v>
      </c>
      <c r="N63" s="133"/>
      <c r="O63" s="133"/>
    </row>
    <row r="64" spans="1:15" x14ac:dyDescent="0.25">
      <c r="A64" s="28" t="s">
        <v>13</v>
      </c>
      <c r="B64" s="29" t="s">
        <v>198</v>
      </c>
      <c r="C64" s="19">
        <v>262.39799999999946</v>
      </c>
      <c r="D64" s="19">
        <v>60.458000000000048</v>
      </c>
      <c r="E64" s="19">
        <v>563.41499999999996</v>
      </c>
      <c r="F64" s="158"/>
      <c r="G64" s="158"/>
      <c r="H64" s="19">
        <f t="shared" si="0"/>
        <v>262.39799999999946</v>
      </c>
      <c r="I64" s="19">
        <f t="shared" si="1"/>
        <v>60.458000000000048</v>
      </c>
      <c r="J64" s="19">
        <f t="shared" si="2"/>
        <v>564.68799999999965</v>
      </c>
      <c r="K64" s="19">
        <f t="shared" si="3"/>
        <v>392113</v>
      </c>
      <c r="L64" s="19">
        <v>382483</v>
      </c>
      <c r="M64" s="19">
        <f t="shared" si="4"/>
        <v>9630</v>
      </c>
      <c r="N64" s="133"/>
      <c r="O64" s="133"/>
    </row>
    <row r="65" spans="1:15" x14ac:dyDescent="0.25">
      <c r="A65" s="28" t="s">
        <v>13</v>
      </c>
      <c r="B65" s="29" t="s">
        <v>599</v>
      </c>
      <c r="C65" s="19">
        <v>213.58799999999971</v>
      </c>
      <c r="D65" s="19">
        <v>5.4989999999999997</v>
      </c>
      <c r="E65" s="19">
        <v>240.416</v>
      </c>
      <c r="F65" s="158"/>
      <c r="G65" s="158"/>
      <c r="H65" s="19">
        <f t="shared" si="0"/>
        <v>213.58799999999971</v>
      </c>
      <c r="I65" s="19">
        <f t="shared" si="1"/>
        <v>5.4989999999999997</v>
      </c>
      <c r="J65" s="19">
        <f t="shared" si="2"/>
        <v>241.08299999999971</v>
      </c>
      <c r="K65" s="19">
        <f t="shared" si="3"/>
        <v>167405</v>
      </c>
      <c r="L65" s="19">
        <v>166545</v>
      </c>
      <c r="M65" s="19">
        <f t="shared" si="4"/>
        <v>860</v>
      </c>
      <c r="N65" s="133"/>
      <c r="O65" s="133"/>
    </row>
    <row r="66" spans="1:15" x14ac:dyDescent="0.25">
      <c r="A66" s="28" t="s">
        <v>13</v>
      </c>
      <c r="B66" s="29" t="s">
        <v>192</v>
      </c>
      <c r="C66" s="19">
        <v>72.593000000000117</v>
      </c>
      <c r="D66" s="19">
        <v>4.4160000000000004</v>
      </c>
      <c r="E66" s="19">
        <v>94.58</v>
      </c>
      <c r="F66" s="158"/>
      <c r="G66" s="158"/>
      <c r="H66" s="19">
        <f t="shared" si="0"/>
        <v>72.593000000000117</v>
      </c>
      <c r="I66" s="19">
        <f t="shared" si="1"/>
        <v>4.4160000000000004</v>
      </c>
      <c r="J66" s="19">
        <f t="shared" si="2"/>
        <v>94.673000000000116</v>
      </c>
      <c r="K66" s="19">
        <f t="shared" si="3"/>
        <v>65740</v>
      </c>
      <c r="L66" s="19">
        <v>68893</v>
      </c>
      <c r="M66" s="19">
        <f t="shared" si="4"/>
        <v>-3153</v>
      </c>
      <c r="N66" s="133"/>
      <c r="O66" s="133"/>
    </row>
    <row r="67" spans="1:15" x14ac:dyDescent="0.25">
      <c r="A67" s="28" t="s">
        <v>13</v>
      </c>
      <c r="B67" s="29" t="s">
        <v>186</v>
      </c>
      <c r="C67" s="19">
        <v>142.59300000000016</v>
      </c>
      <c r="D67" s="19">
        <v>18.992000000000001</v>
      </c>
      <c r="E67" s="19">
        <v>228.95699999999999</v>
      </c>
      <c r="F67" s="158"/>
      <c r="G67" s="158"/>
      <c r="H67" s="19">
        <f t="shared" si="0"/>
        <v>142.59300000000016</v>
      </c>
      <c r="I67" s="19">
        <f t="shared" si="1"/>
        <v>18.992000000000001</v>
      </c>
      <c r="J67" s="19">
        <f t="shared" si="2"/>
        <v>237.55300000000017</v>
      </c>
      <c r="K67" s="19">
        <f t="shared" si="3"/>
        <v>164954</v>
      </c>
      <c r="L67" s="19">
        <v>153388</v>
      </c>
      <c r="M67" s="19">
        <f t="shared" si="4"/>
        <v>11566</v>
      </c>
      <c r="N67" s="133"/>
      <c r="O67" s="133"/>
    </row>
    <row r="68" spans="1:15" x14ac:dyDescent="0.25">
      <c r="A68" s="28" t="s">
        <v>13</v>
      </c>
      <c r="B68" s="29" t="s">
        <v>184</v>
      </c>
      <c r="C68" s="19">
        <v>252.89699999999945</v>
      </c>
      <c r="D68" s="19">
        <v>29.259000000000025</v>
      </c>
      <c r="E68" s="19">
        <v>398.80799999999999</v>
      </c>
      <c r="F68" s="158"/>
      <c r="G68" s="158"/>
      <c r="H68" s="19">
        <f t="shared" si="0"/>
        <v>252.89699999999945</v>
      </c>
      <c r="I68" s="19">
        <f t="shared" si="1"/>
        <v>29.259000000000025</v>
      </c>
      <c r="J68" s="19">
        <f t="shared" si="2"/>
        <v>399.19199999999955</v>
      </c>
      <c r="K68" s="19">
        <f t="shared" si="3"/>
        <v>277194</v>
      </c>
      <c r="L68" s="19">
        <v>291947</v>
      </c>
      <c r="M68" s="19">
        <f t="shared" si="4"/>
        <v>-14753</v>
      </c>
      <c r="N68" s="133"/>
      <c r="O68" s="133"/>
    </row>
    <row r="69" spans="1:15" x14ac:dyDescent="0.25">
      <c r="A69" s="28" t="s">
        <v>13</v>
      </c>
      <c r="B69" s="29" t="s">
        <v>174</v>
      </c>
      <c r="C69" s="19">
        <v>296.18599999999907</v>
      </c>
      <c r="D69" s="19">
        <v>71.480000000000047</v>
      </c>
      <c r="E69" s="19">
        <v>617.84799999999996</v>
      </c>
      <c r="F69" s="158"/>
      <c r="G69" s="158"/>
      <c r="H69" s="19">
        <f t="shared" ref="H69:H82" si="5">C69-F69</f>
        <v>296.18599999999907</v>
      </c>
      <c r="I69" s="19">
        <f t="shared" ref="I69:I82" si="6">D69-G69</f>
        <v>71.480000000000047</v>
      </c>
      <c r="J69" s="19">
        <f t="shared" ref="J69:J82" si="7">H69+5*I69</f>
        <v>653.58599999999933</v>
      </c>
      <c r="K69" s="19">
        <f t="shared" ref="K69:K82" si="8">ROUND(J69*K$88,0)</f>
        <v>453842</v>
      </c>
      <c r="L69" s="19">
        <v>398748</v>
      </c>
      <c r="M69" s="19">
        <f t="shared" ref="M69:M82" si="9">K69-L69</f>
        <v>55094</v>
      </c>
      <c r="N69" s="133"/>
      <c r="O69" s="133"/>
    </row>
    <row r="70" spans="1:15" x14ac:dyDescent="0.25">
      <c r="A70" s="28" t="s">
        <v>13</v>
      </c>
      <c r="B70" s="29" t="s">
        <v>15</v>
      </c>
      <c r="C70" s="19">
        <v>57.321000000000005</v>
      </c>
      <c r="D70" s="19">
        <v>354.36199999999934</v>
      </c>
      <c r="E70" s="19">
        <v>1824.8050000000001</v>
      </c>
      <c r="F70" s="158"/>
      <c r="G70" s="158"/>
      <c r="H70" s="19">
        <f t="shared" si="5"/>
        <v>57.321000000000005</v>
      </c>
      <c r="I70" s="19">
        <f t="shared" si="6"/>
        <v>354.36199999999934</v>
      </c>
      <c r="J70" s="19">
        <f t="shared" si="7"/>
        <v>1829.1309999999967</v>
      </c>
      <c r="K70" s="19">
        <f t="shared" si="8"/>
        <v>1270127</v>
      </c>
      <c r="L70" s="19">
        <v>1195880</v>
      </c>
      <c r="M70" s="19">
        <f t="shared" si="9"/>
        <v>74247</v>
      </c>
      <c r="N70" s="133"/>
      <c r="O70" s="133"/>
    </row>
    <row r="71" spans="1:15" x14ac:dyDescent="0.25">
      <c r="A71" s="28" t="s">
        <v>10</v>
      </c>
      <c r="B71" s="29" t="s">
        <v>154</v>
      </c>
      <c r="C71" s="19">
        <v>178.53099999999969</v>
      </c>
      <c r="D71" s="19">
        <v>30.299000000000003</v>
      </c>
      <c r="E71" s="19">
        <v>329.07</v>
      </c>
      <c r="F71" s="158"/>
      <c r="G71" s="158"/>
      <c r="H71" s="19">
        <f t="shared" si="5"/>
        <v>178.53099999999969</v>
      </c>
      <c r="I71" s="19">
        <f t="shared" si="6"/>
        <v>30.299000000000003</v>
      </c>
      <c r="J71" s="19">
        <f t="shared" si="7"/>
        <v>330.02599999999973</v>
      </c>
      <c r="K71" s="19">
        <f t="shared" si="8"/>
        <v>229166</v>
      </c>
      <c r="L71" s="19">
        <v>267254</v>
      </c>
      <c r="M71" s="19">
        <f t="shared" si="9"/>
        <v>-38088</v>
      </c>
      <c r="N71" s="133"/>
      <c r="O71" s="133"/>
    </row>
    <row r="72" spans="1:15" x14ac:dyDescent="0.25">
      <c r="A72" s="28" t="s">
        <v>10</v>
      </c>
      <c r="B72" s="29" t="s">
        <v>600</v>
      </c>
      <c r="C72" s="19">
        <v>161.65800000000004</v>
      </c>
      <c r="D72" s="19">
        <v>33.546000000000006</v>
      </c>
      <c r="E72" s="19">
        <v>328.18400000000003</v>
      </c>
      <c r="F72" s="158"/>
      <c r="G72" s="158"/>
      <c r="H72" s="19">
        <f t="shared" si="5"/>
        <v>161.65800000000004</v>
      </c>
      <c r="I72" s="19">
        <f t="shared" si="6"/>
        <v>33.546000000000006</v>
      </c>
      <c r="J72" s="19">
        <f t="shared" si="7"/>
        <v>329.38800000000003</v>
      </c>
      <c r="K72" s="19">
        <f t="shared" si="8"/>
        <v>228723</v>
      </c>
      <c r="L72" s="19">
        <v>240989</v>
      </c>
      <c r="M72" s="19">
        <f t="shared" si="9"/>
        <v>-12266</v>
      </c>
      <c r="N72" s="133"/>
      <c r="O72" s="133"/>
    </row>
    <row r="73" spans="1:15" x14ac:dyDescent="0.25">
      <c r="A73" s="28" t="s">
        <v>10</v>
      </c>
      <c r="B73" s="29" t="s">
        <v>601</v>
      </c>
      <c r="C73" s="19">
        <v>193.11699999999999</v>
      </c>
      <c r="D73" s="19">
        <v>99.474999999999966</v>
      </c>
      <c r="E73" s="19">
        <v>690.06299999999999</v>
      </c>
      <c r="F73" s="158"/>
      <c r="G73" s="158"/>
      <c r="H73" s="19">
        <f t="shared" si="5"/>
        <v>193.11699999999999</v>
      </c>
      <c r="I73" s="19">
        <f t="shared" si="6"/>
        <v>99.474999999999966</v>
      </c>
      <c r="J73" s="19">
        <f t="shared" si="7"/>
        <v>690.49199999999985</v>
      </c>
      <c r="K73" s="19">
        <f t="shared" si="8"/>
        <v>479469</v>
      </c>
      <c r="L73" s="19">
        <v>472039</v>
      </c>
      <c r="M73" s="19">
        <f t="shared" si="9"/>
        <v>7430</v>
      </c>
      <c r="N73" s="133"/>
      <c r="O73" s="133"/>
    </row>
    <row r="74" spans="1:15" x14ac:dyDescent="0.25">
      <c r="A74" s="28" t="s">
        <v>6</v>
      </c>
      <c r="B74" s="29" t="s">
        <v>602</v>
      </c>
      <c r="C74" s="19">
        <v>223.53899999999962</v>
      </c>
      <c r="D74" s="19">
        <v>45.003000000000021</v>
      </c>
      <c r="E74" s="19">
        <v>447.43799999999999</v>
      </c>
      <c r="F74" s="158"/>
      <c r="G74" s="158"/>
      <c r="H74" s="19">
        <f t="shared" si="5"/>
        <v>223.53899999999962</v>
      </c>
      <c r="I74" s="19">
        <f t="shared" si="6"/>
        <v>45.003000000000021</v>
      </c>
      <c r="J74" s="19">
        <f t="shared" si="7"/>
        <v>448.55399999999975</v>
      </c>
      <c r="K74" s="19">
        <f t="shared" si="8"/>
        <v>311471</v>
      </c>
      <c r="L74" s="19">
        <v>353756</v>
      </c>
      <c r="M74" s="19">
        <f t="shared" si="9"/>
        <v>-42285</v>
      </c>
      <c r="N74" s="133"/>
      <c r="O74" s="133"/>
    </row>
    <row r="75" spans="1:15" x14ac:dyDescent="0.25">
      <c r="A75" s="28" t="s">
        <v>6</v>
      </c>
      <c r="B75" s="29" t="s">
        <v>603</v>
      </c>
      <c r="C75" s="19">
        <v>249.21300000000022</v>
      </c>
      <c r="D75" s="19">
        <v>40.226000000000013</v>
      </c>
      <c r="E75" s="19">
        <v>450.28</v>
      </c>
      <c r="F75" s="158"/>
      <c r="G75" s="158"/>
      <c r="H75" s="19">
        <f t="shared" si="5"/>
        <v>249.21300000000022</v>
      </c>
      <c r="I75" s="19">
        <f t="shared" si="6"/>
        <v>40.226000000000013</v>
      </c>
      <c r="J75" s="19">
        <f t="shared" si="7"/>
        <v>450.3430000000003</v>
      </c>
      <c r="K75" s="19">
        <f t="shared" si="8"/>
        <v>312713</v>
      </c>
      <c r="L75" s="19">
        <v>291739</v>
      </c>
      <c r="M75" s="19">
        <f t="shared" si="9"/>
        <v>20974</v>
      </c>
      <c r="N75" s="133"/>
      <c r="O75" s="133"/>
    </row>
    <row r="76" spans="1:15" x14ac:dyDescent="0.25">
      <c r="A76" s="28" t="s">
        <v>6</v>
      </c>
      <c r="B76" s="29" t="s">
        <v>117</v>
      </c>
      <c r="C76" s="19">
        <v>522.97199999999657</v>
      </c>
      <c r="D76" s="19">
        <v>24.500000000000021</v>
      </c>
      <c r="E76" s="19">
        <v>633.01800000000003</v>
      </c>
      <c r="F76" s="158"/>
      <c r="G76" s="158"/>
      <c r="H76" s="19">
        <f t="shared" si="5"/>
        <v>522.97199999999657</v>
      </c>
      <c r="I76" s="19">
        <f t="shared" si="6"/>
        <v>24.500000000000021</v>
      </c>
      <c r="J76" s="19">
        <f t="shared" si="7"/>
        <v>645.47199999999668</v>
      </c>
      <c r="K76" s="19">
        <f t="shared" si="8"/>
        <v>448208</v>
      </c>
      <c r="L76" s="19">
        <v>460840</v>
      </c>
      <c r="M76" s="19">
        <f t="shared" si="9"/>
        <v>-12632</v>
      </c>
      <c r="N76" s="133"/>
      <c r="O76" s="133"/>
    </row>
    <row r="77" spans="1:15" x14ac:dyDescent="0.25">
      <c r="A77" s="28" t="s">
        <v>6</v>
      </c>
      <c r="B77" s="29" t="s">
        <v>5</v>
      </c>
      <c r="C77" s="19">
        <v>0</v>
      </c>
      <c r="D77" s="19">
        <v>96.323999999999984</v>
      </c>
      <c r="E77" s="19">
        <v>481.48500000000001</v>
      </c>
      <c r="F77" s="158"/>
      <c r="G77" s="158"/>
      <c r="H77" s="19">
        <f t="shared" si="5"/>
        <v>0</v>
      </c>
      <c r="I77" s="19">
        <f t="shared" si="6"/>
        <v>96.323999999999984</v>
      </c>
      <c r="J77" s="19">
        <f t="shared" si="7"/>
        <v>481.61999999999989</v>
      </c>
      <c r="K77" s="19">
        <f t="shared" si="8"/>
        <v>334431</v>
      </c>
      <c r="L77" s="19">
        <v>322802</v>
      </c>
      <c r="M77" s="19">
        <f t="shared" si="9"/>
        <v>11629</v>
      </c>
      <c r="N77" s="133"/>
      <c r="O77" s="133"/>
    </row>
    <row r="78" spans="1:15" x14ac:dyDescent="0.25">
      <c r="A78" s="28" t="s">
        <v>1</v>
      </c>
      <c r="B78" s="29" t="s">
        <v>114</v>
      </c>
      <c r="C78" s="19">
        <v>169.2020000000002</v>
      </c>
      <c r="D78" s="19">
        <v>25.98299999999999</v>
      </c>
      <c r="E78" s="19">
        <v>298.80199999999996</v>
      </c>
      <c r="F78" s="158"/>
      <c r="G78" s="158"/>
      <c r="H78" s="19">
        <f t="shared" si="5"/>
        <v>169.2020000000002</v>
      </c>
      <c r="I78" s="19">
        <f t="shared" si="6"/>
        <v>25.98299999999999</v>
      </c>
      <c r="J78" s="19">
        <f t="shared" si="7"/>
        <v>299.11700000000019</v>
      </c>
      <c r="K78" s="19">
        <f t="shared" si="8"/>
        <v>207703</v>
      </c>
      <c r="L78" s="19">
        <v>233068</v>
      </c>
      <c r="M78" s="19">
        <f t="shared" si="9"/>
        <v>-25365</v>
      </c>
      <c r="N78" s="133"/>
      <c r="O78" s="133"/>
    </row>
    <row r="79" spans="1:15" x14ac:dyDescent="0.25">
      <c r="A79" s="28" t="s">
        <v>1</v>
      </c>
      <c r="B79" s="29" t="s">
        <v>102</v>
      </c>
      <c r="C79" s="19">
        <v>439.84099999999796</v>
      </c>
      <c r="D79" s="19">
        <v>18.935000000000009</v>
      </c>
      <c r="E79" s="19">
        <v>533.76100000000008</v>
      </c>
      <c r="F79" s="158"/>
      <c r="G79" s="158"/>
      <c r="H79" s="19">
        <f t="shared" si="5"/>
        <v>439.84099999999796</v>
      </c>
      <c r="I79" s="19">
        <f t="shared" si="6"/>
        <v>18.935000000000009</v>
      </c>
      <c r="J79" s="19">
        <f t="shared" si="7"/>
        <v>534.51599999999803</v>
      </c>
      <c r="K79" s="19">
        <f t="shared" si="8"/>
        <v>371162</v>
      </c>
      <c r="L79" s="19">
        <v>408859</v>
      </c>
      <c r="M79" s="19">
        <f t="shared" si="9"/>
        <v>-37697</v>
      </c>
      <c r="N79" s="133"/>
      <c r="O79" s="133"/>
    </row>
    <row r="80" spans="1:15" x14ac:dyDescent="0.25">
      <c r="A80" s="28" t="s">
        <v>1</v>
      </c>
      <c r="B80" s="29" t="s">
        <v>604</v>
      </c>
      <c r="C80" s="19">
        <v>299.70199999999926</v>
      </c>
      <c r="D80" s="19">
        <v>5.1549999999999976</v>
      </c>
      <c r="E80" s="19">
        <v>324.99800000000005</v>
      </c>
      <c r="F80" s="158"/>
      <c r="G80" s="158"/>
      <c r="H80" s="19">
        <f t="shared" si="5"/>
        <v>299.70199999999926</v>
      </c>
      <c r="I80" s="19">
        <f t="shared" si="6"/>
        <v>5.1549999999999976</v>
      </c>
      <c r="J80" s="19">
        <f t="shared" si="7"/>
        <v>325.47699999999924</v>
      </c>
      <c r="K80" s="19">
        <f t="shared" si="8"/>
        <v>226007</v>
      </c>
      <c r="L80" s="19">
        <v>231427</v>
      </c>
      <c r="M80" s="19">
        <f t="shared" si="9"/>
        <v>-5420</v>
      </c>
      <c r="N80" s="133"/>
      <c r="O80" s="133"/>
    </row>
    <row r="81" spans="1:15" x14ac:dyDescent="0.25">
      <c r="A81" s="28" t="s">
        <v>1</v>
      </c>
      <c r="B81" s="29" t="s">
        <v>92</v>
      </c>
      <c r="C81" s="19">
        <v>459.00999999999812</v>
      </c>
      <c r="D81" s="19">
        <v>26.756000000000011</v>
      </c>
      <c r="E81" s="19">
        <v>591.82200000000012</v>
      </c>
      <c r="F81" s="158"/>
      <c r="G81" s="158"/>
      <c r="H81" s="19">
        <f t="shared" si="5"/>
        <v>459.00999999999812</v>
      </c>
      <c r="I81" s="19">
        <f t="shared" si="6"/>
        <v>26.756000000000011</v>
      </c>
      <c r="J81" s="19">
        <f t="shared" si="7"/>
        <v>592.78999999999814</v>
      </c>
      <c r="K81" s="19">
        <f t="shared" si="8"/>
        <v>411626</v>
      </c>
      <c r="L81" s="19">
        <v>511025</v>
      </c>
      <c r="M81" s="19">
        <f t="shared" si="9"/>
        <v>-99399</v>
      </c>
      <c r="N81" s="133"/>
      <c r="O81" s="133"/>
    </row>
    <row r="82" spans="1:15" x14ac:dyDescent="0.25">
      <c r="A82" s="28" t="s">
        <v>1</v>
      </c>
      <c r="B82" s="29" t="s">
        <v>0</v>
      </c>
      <c r="C82" s="19">
        <v>2.165</v>
      </c>
      <c r="D82" s="19">
        <v>70.396999999999977</v>
      </c>
      <c r="E82" s="19">
        <v>353.66500000000002</v>
      </c>
      <c r="F82" s="158"/>
      <c r="G82" s="158"/>
      <c r="H82" s="19">
        <f t="shared" si="5"/>
        <v>2.165</v>
      </c>
      <c r="I82" s="19">
        <f t="shared" si="6"/>
        <v>70.396999999999977</v>
      </c>
      <c r="J82" s="19">
        <f t="shared" si="7"/>
        <v>354.14999999999992</v>
      </c>
      <c r="K82" s="19">
        <f t="shared" si="8"/>
        <v>245918</v>
      </c>
      <c r="L82" s="19">
        <v>237866</v>
      </c>
      <c r="M82" s="19">
        <f t="shared" si="9"/>
        <v>8052</v>
      </c>
      <c r="N82" s="133"/>
      <c r="O82" s="133"/>
    </row>
    <row r="83" spans="1:15" x14ac:dyDescent="0.25">
      <c r="A83" s="241" t="s">
        <v>512</v>
      </c>
      <c r="B83" s="241"/>
      <c r="C83" s="24">
        <f>SUM(C4:C82)</f>
        <v>16175.189999999968</v>
      </c>
      <c r="D83" s="24">
        <f>SUM(D4:D82)</f>
        <v>5209.997999999995</v>
      </c>
      <c r="E83" s="24">
        <f t="shared" ref="E83:M83" si="10">SUM(E4:E82)</f>
        <v>42025.810000000005</v>
      </c>
      <c r="F83" s="24">
        <f t="shared" si="10"/>
        <v>11.04</v>
      </c>
      <c r="G83" s="24">
        <f t="shared" si="10"/>
        <v>0</v>
      </c>
      <c r="H83" s="24">
        <f t="shared" si="10"/>
        <v>16164.149999999969</v>
      </c>
      <c r="I83" s="24">
        <f t="shared" si="10"/>
        <v>5209.997999999995</v>
      </c>
      <c r="J83" s="24">
        <f t="shared" si="10"/>
        <v>42214.139999999934</v>
      </c>
      <c r="K83" s="24">
        <f t="shared" si="10"/>
        <v>29313000</v>
      </c>
      <c r="L83" s="24">
        <f t="shared" si="10"/>
        <v>29313000</v>
      </c>
      <c r="M83" s="24">
        <f t="shared" si="10"/>
        <v>0</v>
      </c>
      <c r="N83" s="133"/>
      <c r="O83" s="133"/>
    </row>
    <row r="84" spans="1:15" x14ac:dyDescent="0.25">
      <c r="D84" s="8"/>
      <c r="F84" s="2"/>
      <c r="G84" s="2"/>
      <c r="H84" s="2"/>
      <c r="I84" s="2"/>
      <c r="J84" s="2" t="s">
        <v>775</v>
      </c>
      <c r="K84" s="2">
        <v>29313000</v>
      </c>
      <c r="N84" s="133"/>
      <c r="O84" s="133"/>
    </row>
    <row r="85" spans="1:15" x14ac:dyDescent="0.25">
      <c r="F85" s="2"/>
      <c r="G85" s="2"/>
      <c r="H85" s="2"/>
      <c r="I85" s="2"/>
      <c r="J85" s="2" t="s">
        <v>531</v>
      </c>
      <c r="K85" s="21">
        <f>K84-K83</f>
        <v>0</v>
      </c>
      <c r="N85" s="133"/>
      <c r="O85" s="133"/>
    </row>
    <row r="88" spans="1:15" x14ac:dyDescent="0.25">
      <c r="C88" s="40"/>
      <c r="D88" s="40"/>
      <c r="F88" s="8"/>
      <c r="G88" s="8"/>
      <c r="H88" s="8"/>
      <c r="I88" s="8"/>
      <c r="J88" s="8" t="s">
        <v>568</v>
      </c>
      <c r="K88" s="147">
        <v>694.38819999999998</v>
      </c>
    </row>
    <row r="93" spans="1:15" x14ac:dyDescent="0.25">
      <c r="C93" s="2"/>
      <c r="D93" s="2"/>
      <c r="E93" s="2"/>
      <c r="F93" s="2"/>
      <c r="G93" s="2"/>
      <c r="H93" s="2"/>
      <c r="I93" s="2"/>
      <c r="J93" s="2"/>
    </row>
    <row r="94" spans="1:15" x14ac:dyDescent="0.25">
      <c r="C94" s="2"/>
      <c r="D94" s="2"/>
      <c r="E94" s="2"/>
      <c r="F94" s="2"/>
      <c r="G94" s="2"/>
      <c r="H94" s="2"/>
      <c r="I94" s="2"/>
      <c r="J94" s="2"/>
    </row>
    <row r="95" spans="1:15" x14ac:dyDescent="0.25">
      <c r="C95" s="2"/>
      <c r="D95" s="2"/>
      <c r="E95" s="2"/>
      <c r="F95" s="2"/>
      <c r="G95" s="2"/>
      <c r="H95" s="2"/>
      <c r="I95" s="2"/>
      <c r="J95" s="2"/>
    </row>
  </sheetData>
  <mergeCells count="9">
    <mergeCell ref="K1:K3"/>
    <mergeCell ref="L1:L3"/>
    <mergeCell ref="M1:M3"/>
    <mergeCell ref="A83:B83"/>
    <mergeCell ref="A1:A3"/>
    <mergeCell ref="B1:B3"/>
    <mergeCell ref="C1:E2"/>
    <mergeCell ref="F1:G2"/>
    <mergeCell ref="H1:J2"/>
  </mergeCell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D5CF-368B-46D8-AB23-D20815D73EA0}">
  <dimension ref="A1:J11"/>
  <sheetViews>
    <sheetView workbookViewId="0">
      <selection activeCell="H5" sqref="H5"/>
    </sheetView>
  </sheetViews>
  <sheetFormatPr defaultRowHeight="13.2" x14ac:dyDescent="0.25"/>
  <cols>
    <col min="1" max="1" width="23.6640625" bestFit="1" customWidth="1"/>
    <col min="7" max="7" width="7.88671875" customWidth="1"/>
    <col min="8" max="8" width="9.88671875" customWidth="1"/>
    <col min="9" max="9" width="8.88671875" customWidth="1"/>
  </cols>
  <sheetData>
    <row r="1" spans="1:10" x14ac:dyDescent="0.25">
      <c r="A1" s="256" t="s">
        <v>760</v>
      </c>
      <c r="B1" s="257" t="s">
        <v>804</v>
      </c>
      <c r="C1" s="257"/>
      <c r="D1" s="257"/>
      <c r="E1" s="257"/>
      <c r="F1" s="257"/>
      <c r="G1" s="257"/>
      <c r="H1" s="258" t="s">
        <v>805</v>
      </c>
      <c r="I1" s="254" t="s">
        <v>806</v>
      </c>
      <c r="J1" s="254" t="s">
        <v>534</v>
      </c>
    </row>
    <row r="2" spans="1:10" x14ac:dyDescent="0.25">
      <c r="A2" s="256"/>
      <c r="B2" s="257" t="s">
        <v>761</v>
      </c>
      <c r="C2" s="257"/>
      <c r="D2" s="257"/>
      <c r="E2" s="257"/>
      <c r="F2" s="257" t="s">
        <v>762</v>
      </c>
      <c r="G2" s="261" t="s">
        <v>808</v>
      </c>
      <c r="H2" s="259"/>
      <c r="I2" s="255"/>
      <c r="J2" s="255"/>
    </row>
    <row r="3" spans="1:10" ht="66" x14ac:dyDescent="0.25">
      <c r="A3" s="256"/>
      <c r="B3" s="148" t="s">
        <v>763</v>
      </c>
      <c r="C3" s="149" t="s">
        <v>764</v>
      </c>
      <c r="D3" s="137" t="s">
        <v>765</v>
      </c>
      <c r="E3" s="137" t="s">
        <v>766</v>
      </c>
      <c r="F3" s="260"/>
      <c r="G3" s="256"/>
      <c r="H3" s="259"/>
      <c r="I3" s="255"/>
      <c r="J3" s="255"/>
    </row>
    <row r="4" spans="1:10" x14ac:dyDescent="0.25">
      <c r="A4" s="18" t="s">
        <v>592</v>
      </c>
      <c r="B4" s="18">
        <v>6.8979999999999997</v>
      </c>
      <c r="C4" s="18"/>
      <c r="D4" s="18">
        <v>6.8979999999999997</v>
      </c>
      <c r="E4" s="18"/>
      <c r="F4" s="18"/>
      <c r="G4" s="18"/>
      <c r="H4" s="19">
        <v>22268</v>
      </c>
      <c r="I4" s="19">
        <v>22268</v>
      </c>
      <c r="J4" s="19">
        <f>H4-I4</f>
        <v>0</v>
      </c>
    </row>
    <row r="5" spans="1:10" x14ac:dyDescent="0.25">
      <c r="A5" s="18" t="s">
        <v>490</v>
      </c>
      <c r="B5" s="18">
        <v>0.41299999999999998</v>
      </c>
      <c r="C5" s="18"/>
      <c r="D5" s="18">
        <v>0.41299999999999998</v>
      </c>
      <c r="E5" s="18"/>
      <c r="F5" s="18"/>
      <c r="G5" s="18"/>
      <c r="H5" s="19">
        <v>1608</v>
      </c>
      <c r="I5" s="19">
        <v>0</v>
      </c>
      <c r="J5" s="19">
        <f>H5-I5</f>
        <v>1608</v>
      </c>
    </row>
    <row r="6" spans="1:10" x14ac:dyDescent="0.25">
      <c r="A6" s="18" t="s">
        <v>281</v>
      </c>
      <c r="B6" s="128">
        <v>0.93200000000000005</v>
      </c>
      <c r="C6" s="18"/>
      <c r="D6" s="18">
        <v>0.35499999999999998</v>
      </c>
      <c r="E6" s="18">
        <v>0.57699999999999996</v>
      </c>
      <c r="F6" s="18"/>
      <c r="G6" s="18"/>
      <c r="H6" s="19">
        <v>2516</v>
      </c>
      <c r="I6" s="19">
        <v>2516</v>
      </c>
      <c r="J6" s="19">
        <f t="shared" ref="J6:J8" si="0">H6-I6</f>
        <v>0</v>
      </c>
    </row>
    <row r="7" spans="1:10" x14ac:dyDescent="0.25">
      <c r="A7" s="18" t="s">
        <v>767</v>
      </c>
      <c r="B7" s="18">
        <v>3.21</v>
      </c>
      <c r="C7" s="18"/>
      <c r="D7" s="18">
        <v>2.9830000000000001</v>
      </c>
      <c r="E7" s="18">
        <v>0.22700000000000001</v>
      </c>
      <c r="F7" s="18"/>
      <c r="G7" s="18"/>
      <c r="H7" s="19">
        <v>10532</v>
      </c>
      <c r="I7" s="19">
        <v>10532</v>
      </c>
      <c r="J7" s="19">
        <f t="shared" si="0"/>
        <v>0</v>
      </c>
    </row>
    <row r="8" spans="1:10" ht="14.4" x14ac:dyDescent="0.3">
      <c r="A8" s="18" t="s">
        <v>460</v>
      </c>
      <c r="B8" s="18">
        <v>1.921</v>
      </c>
      <c r="C8" s="18">
        <v>1.0249999999999999</v>
      </c>
      <c r="D8" s="18">
        <v>0.89600000000000002</v>
      </c>
      <c r="E8" s="18"/>
      <c r="F8" s="18"/>
      <c r="G8" s="18"/>
      <c r="H8" s="129">
        <v>27461</v>
      </c>
      <c r="I8" s="19">
        <v>27461</v>
      </c>
      <c r="J8" s="19">
        <f t="shared" si="0"/>
        <v>0</v>
      </c>
    </row>
    <row r="9" spans="1:10" x14ac:dyDescent="0.25">
      <c r="A9" s="131" t="s">
        <v>512</v>
      </c>
      <c r="B9" s="130">
        <f t="shared" ref="B9:J9" si="1">SUM(B4:B8)</f>
        <v>13.373999999999999</v>
      </c>
      <c r="C9" s="130">
        <f t="shared" si="1"/>
        <v>1.0249999999999999</v>
      </c>
      <c r="D9" s="130">
        <f t="shared" si="1"/>
        <v>11.545000000000002</v>
      </c>
      <c r="E9" s="130">
        <f t="shared" si="1"/>
        <v>0.80399999999999994</v>
      </c>
      <c r="F9" s="130">
        <f t="shared" si="1"/>
        <v>0</v>
      </c>
      <c r="G9" s="130">
        <f t="shared" si="1"/>
        <v>0</v>
      </c>
      <c r="H9" s="24">
        <f t="shared" si="1"/>
        <v>64385</v>
      </c>
      <c r="I9" s="24">
        <f t="shared" si="1"/>
        <v>62777</v>
      </c>
      <c r="J9" s="24">
        <f t="shared" si="1"/>
        <v>1608</v>
      </c>
    </row>
    <row r="10" spans="1:10" x14ac:dyDescent="0.25">
      <c r="G10" t="s">
        <v>807</v>
      </c>
      <c r="H10" s="2">
        <f>KOOND!W86</f>
        <v>64386</v>
      </c>
    </row>
    <row r="11" spans="1:10" x14ac:dyDescent="0.25">
      <c r="G11" t="s">
        <v>531</v>
      </c>
      <c r="H11" s="2">
        <f>H10-H9</f>
        <v>1</v>
      </c>
    </row>
  </sheetData>
  <mergeCells count="8">
    <mergeCell ref="I1:I3"/>
    <mergeCell ref="J1:J3"/>
    <mergeCell ref="A1:A3"/>
    <mergeCell ref="B1:G1"/>
    <mergeCell ref="H1:H3"/>
    <mergeCell ref="B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ED42D-D1B2-414C-B704-97053ACF9039}">
  <dimension ref="A1:W86"/>
  <sheetViews>
    <sheetView workbookViewId="0">
      <pane xSplit="2" ySplit="3" topLeftCell="G64" activePane="bottomRight" state="frozen"/>
      <selection pane="topRight" activeCell="C1" sqref="C1"/>
      <selection pane="bottomLeft" activeCell="A4" sqref="A4"/>
      <selection pane="bottomRight" activeCell="W1" sqref="W1:W3"/>
    </sheetView>
  </sheetViews>
  <sheetFormatPr defaultRowHeight="13.2" x14ac:dyDescent="0.25"/>
  <cols>
    <col min="2" max="2" width="19.44140625" bestFit="1" customWidth="1"/>
    <col min="3" max="4" width="10.109375" bestFit="1" customWidth="1"/>
    <col min="13" max="15" width="10.109375" bestFit="1" customWidth="1"/>
    <col min="17" max="17" width="15.88671875" bestFit="1" customWidth="1"/>
    <col min="18" max="18" width="21.44140625" bestFit="1" customWidth="1"/>
    <col min="19" max="19" width="12.6640625" bestFit="1" customWidth="1"/>
    <col min="20" max="20" width="12.109375" customWidth="1"/>
    <col min="21" max="21" width="14.44140625" customWidth="1"/>
    <col min="22" max="22" width="12.6640625" bestFit="1" customWidth="1"/>
    <col min="23" max="23" width="10.109375" bestFit="1" customWidth="1"/>
  </cols>
  <sheetData>
    <row r="1" spans="1:23" x14ac:dyDescent="0.25">
      <c r="A1" s="186" t="s">
        <v>511</v>
      </c>
      <c r="B1" s="186" t="s">
        <v>510</v>
      </c>
      <c r="C1" s="176" t="s">
        <v>838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265" t="s">
        <v>839</v>
      </c>
      <c r="T1" s="265"/>
      <c r="U1" s="265"/>
      <c r="V1" s="265"/>
      <c r="W1" s="262" t="s">
        <v>840</v>
      </c>
    </row>
    <row r="2" spans="1:23" x14ac:dyDescent="0.25">
      <c r="A2" s="186"/>
      <c r="B2" s="186"/>
      <c r="C2" s="188" t="s">
        <v>841</v>
      </c>
      <c r="D2" s="188"/>
      <c r="E2" s="188" t="s">
        <v>842</v>
      </c>
      <c r="F2" s="188"/>
      <c r="G2" s="188" t="s">
        <v>843</v>
      </c>
      <c r="H2" s="188"/>
      <c r="I2" s="188" t="s">
        <v>844</v>
      </c>
      <c r="J2" s="188"/>
      <c r="K2" s="188" t="s">
        <v>845</v>
      </c>
      <c r="L2" s="188"/>
      <c r="M2" s="188" t="s">
        <v>512</v>
      </c>
      <c r="N2" s="188"/>
      <c r="O2" s="188" t="s">
        <v>846</v>
      </c>
      <c r="P2" s="188"/>
      <c r="Q2" s="264"/>
      <c r="R2" s="264"/>
      <c r="S2" s="265"/>
      <c r="T2" s="265"/>
      <c r="U2" s="265"/>
      <c r="V2" s="265"/>
      <c r="W2" s="263"/>
    </row>
    <row r="3" spans="1:23" ht="28.8" x14ac:dyDescent="0.3">
      <c r="A3" s="186"/>
      <c r="B3" s="186"/>
      <c r="C3" s="161" t="s">
        <v>847</v>
      </c>
      <c r="D3" s="161">
        <v>2022</v>
      </c>
      <c r="E3" s="161" t="s">
        <v>847</v>
      </c>
      <c r="F3" s="161">
        <v>2022</v>
      </c>
      <c r="G3" s="161" t="s">
        <v>847</v>
      </c>
      <c r="H3" s="161">
        <v>2022</v>
      </c>
      <c r="I3" s="161" t="s">
        <v>847</v>
      </c>
      <c r="J3" s="161">
        <v>2022</v>
      </c>
      <c r="K3" s="161" t="s">
        <v>847</v>
      </c>
      <c r="L3" s="161">
        <v>2022</v>
      </c>
      <c r="M3" s="161" t="s">
        <v>847</v>
      </c>
      <c r="N3" s="161">
        <v>2022</v>
      </c>
      <c r="O3" s="161" t="s">
        <v>848</v>
      </c>
      <c r="P3" s="161" t="s">
        <v>849</v>
      </c>
      <c r="Q3" s="161" t="s">
        <v>850</v>
      </c>
      <c r="R3" s="161" t="s">
        <v>851</v>
      </c>
      <c r="S3" s="162" t="s">
        <v>583</v>
      </c>
      <c r="T3" s="163" t="s">
        <v>584</v>
      </c>
      <c r="U3" s="163" t="s">
        <v>852</v>
      </c>
      <c r="V3" s="160" t="s">
        <v>512</v>
      </c>
      <c r="W3" s="263"/>
    </row>
    <row r="4" spans="1:23" x14ac:dyDescent="0.25">
      <c r="A4" s="6" t="s">
        <v>69</v>
      </c>
      <c r="B4" s="5" t="s">
        <v>490</v>
      </c>
      <c r="C4" s="19">
        <v>233434.40000000008</v>
      </c>
      <c r="D4" s="19">
        <v>339213.80999999942</v>
      </c>
      <c r="E4" s="19">
        <v>55061.129999999983</v>
      </c>
      <c r="F4" s="19">
        <v>76741.580000000016</v>
      </c>
      <c r="G4" s="19">
        <v>3886.55</v>
      </c>
      <c r="H4" s="19">
        <v>5850.1</v>
      </c>
      <c r="I4" s="19">
        <v>2681.94</v>
      </c>
      <c r="J4" s="19">
        <v>4777.6000000000013</v>
      </c>
      <c r="K4" s="19">
        <v>0</v>
      </c>
      <c r="L4" s="19">
        <v>0</v>
      </c>
      <c r="M4" s="164">
        <f>C4+E4-MIN(G4,E4)-I4-K4</f>
        <v>281927.0400000001</v>
      </c>
      <c r="N4" s="164">
        <f>D4+F4-MIN(H4,F4)-J4-L4</f>
        <v>405327.68999999948</v>
      </c>
      <c r="O4" s="19">
        <f>N4-M4</f>
        <v>123400.64999999938</v>
      </c>
      <c r="P4" s="165">
        <f>N4/M4-1</f>
        <v>0.43770420176794445</v>
      </c>
      <c r="Q4" s="166">
        <f>O4/V4</f>
        <v>1.6580631802452967E-2</v>
      </c>
      <c r="R4" s="19">
        <f>IF(Q4&gt;0.005,O4-0.005*V4,0)</f>
        <v>86188.361749999371</v>
      </c>
      <c r="S4" s="19">
        <v>6836317</v>
      </c>
      <c r="T4" s="19">
        <v>240963.65</v>
      </c>
      <c r="U4" s="19">
        <v>365177</v>
      </c>
      <c r="V4" s="19">
        <f>SUM(S4:U4)</f>
        <v>7442457.6500000004</v>
      </c>
      <c r="W4" s="102">
        <f t="shared" ref="W4:W35" si="0">ROUND(R4/R$83*W$86,0)</f>
        <v>38877</v>
      </c>
    </row>
    <row r="5" spans="1:23" x14ac:dyDescent="0.25">
      <c r="A5" s="6" t="s">
        <v>69</v>
      </c>
      <c r="B5" s="5" t="s">
        <v>488</v>
      </c>
      <c r="C5" s="19">
        <v>664199.49000000022</v>
      </c>
      <c r="D5" s="19">
        <v>990072.19000000018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64">
        <f t="shared" ref="M5:N68" si="1">C5+E5-MIN(G5,E5)-I5-K5</f>
        <v>664199.49000000022</v>
      </c>
      <c r="N5" s="164">
        <f t="shared" si="1"/>
        <v>990072.19000000018</v>
      </c>
      <c r="O5" s="19">
        <f t="shared" ref="O5:O68" si="2">N5-M5</f>
        <v>325872.69999999995</v>
      </c>
      <c r="P5" s="165">
        <f t="shared" ref="P5:P68" si="3">N5/M5-1</f>
        <v>0.4906247368542842</v>
      </c>
      <c r="Q5" s="166">
        <f t="shared" ref="Q5:Q68" si="4">O5/V5</f>
        <v>1.1830199726884342E-2</v>
      </c>
      <c r="R5" s="19">
        <f t="shared" ref="R5:R68" si="5">IF(Q5&gt;0.005,O5-0.005*V5,0)</f>
        <v>188143.53754999989</v>
      </c>
      <c r="S5" s="19">
        <v>26252009</v>
      </c>
      <c r="T5" s="19">
        <v>1293823.49000001</v>
      </c>
      <c r="U5" s="19">
        <v>0</v>
      </c>
      <c r="V5" s="19">
        <f t="shared" ref="V5:V68" si="6">SUM(S5:U5)</f>
        <v>27545832.49000001</v>
      </c>
      <c r="W5" s="102">
        <f t="shared" si="0"/>
        <v>84865</v>
      </c>
    </row>
    <row r="6" spans="1:23" x14ac:dyDescent="0.25">
      <c r="A6" s="6" t="s">
        <v>69</v>
      </c>
      <c r="B6" s="5" t="s">
        <v>486</v>
      </c>
      <c r="C6" s="19">
        <v>374255.83</v>
      </c>
      <c r="D6" s="19">
        <v>539842.59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64">
        <f t="shared" si="1"/>
        <v>374255.83</v>
      </c>
      <c r="N6" s="164">
        <f t="shared" si="1"/>
        <v>539842.59</v>
      </c>
      <c r="O6" s="19">
        <f t="shared" si="2"/>
        <v>165586.75999999995</v>
      </c>
      <c r="P6" s="165">
        <f t="shared" si="3"/>
        <v>0.44244270022460297</v>
      </c>
      <c r="Q6" s="166">
        <f t="shared" si="4"/>
        <v>1.5871719399426193E-2</v>
      </c>
      <c r="R6" s="19">
        <f t="shared" si="5"/>
        <v>113422.66994999995</v>
      </c>
      <c r="S6" s="19">
        <v>9419926</v>
      </c>
      <c r="T6" s="19">
        <v>1012892.0099999991</v>
      </c>
      <c r="U6" s="19">
        <v>0</v>
      </c>
      <c r="V6" s="19">
        <f t="shared" si="6"/>
        <v>10432818.01</v>
      </c>
      <c r="W6" s="102">
        <f t="shared" si="0"/>
        <v>51161</v>
      </c>
    </row>
    <row r="7" spans="1:23" x14ac:dyDescent="0.25">
      <c r="A7" s="6" t="s">
        <v>69</v>
      </c>
      <c r="B7" s="5" t="s">
        <v>81</v>
      </c>
      <c r="C7" s="19">
        <v>427535.2900000001</v>
      </c>
      <c r="D7" s="19">
        <v>635447.4299999997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64">
        <f t="shared" si="1"/>
        <v>427535.2900000001</v>
      </c>
      <c r="N7" s="164">
        <f t="shared" si="1"/>
        <v>635447.4299999997</v>
      </c>
      <c r="O7" s="19">
        <f t="shared" si="2"/>
        <v>207912.13999999961</v>
      </c>
      <c r="P7" s="165">
        <f t="shared" si="3"/>
        <v>0.48630404287795659</v>
      </c>
      <c r="Q7" s="166">
        <f t="shared" si="4"/>
        <v>1.5485334929141805E-2</v>
      </c>
      <c r="R7" s="19">
        <f t="shared" si="5"/>
        <v>140780.1919499996</v>
      </c>
      <c r="S7" s="19">
        <v>13275127</v>
      </c>
      <c r="T7" s="19">
        <v>151262.60999999999</v>
      </c>
      <c r="U7" s="19">
        <v>0</v>
      </c>
      <c r="V7" s="19">
        <f t="shared" si="6"/>
        <v>13426389.609999999</v>
      </c>
      <c r="W7" s="102">
        <f t="shared" si="0"/>
        <v>63501</v>
      </c>
    </row>
    <row r="8" spans="1:23" x14ac:dyDescent="0.25">
      <c r="A8" s="6" t="s">
        <v>69</v>
      </c>
      <c r="B8" s="5" t="s">
        <v>480</v>
      </c>
      <c r="C8" s="19">
        <v>205008.78999999998</v>
      </c>
      <c r="D8" s="19">
        <v>304586.37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64">
        <f t="shared" si="1"/>
        <v>205008.78999999998</v>
      </c>
      <c r="N8" s="164">
        <f t="shared" si="1"/>
        <v>304586.37</v>
      </c>
      <c r="O8" s="19">
        <f t="shared" si="2"/>
        <v>99577.580000000016</v>
      </c>
      <c r="P8" s="165">
        <f t="shared" si="3"/>
        <v>0.48572346580846615</v>
      </c>
      <c r="Q8" s="166">
        <f t="shared" si="4"/>
        <v>9.953530058943923E-3</v>
      </c>
      <c r="R8" s="19">
        <f t="shared" si="5"/>
        <v>49556.341600000007</v>
      </c>
      <c r="S8" s="19">
        <v>9795487</v>
      </c>
      <c r="T8" s="19">
        <v>208760.68000000098</v>
      </c>
      <c r="U8" s="19">
        <v>0</v>
      </c>
      <c r="V8" s="19">
        <f t="shared" si="6"/>
        <v>10004247.680000002</v>
      </c>
      <c r="W8" s="102">
        <f t="shared" si="0"/>
        <v>22353</v>
      </c>
    </row>
    <row r="9" spans="1:23" x14ac:dyDescent="0.25">
      <c r="A9" s="6" t="s">
        <v>69</v>
      </c>
      <c r="B9" s="5" t="s">
        <v>478</v>
      </c>
      <c r="C9" s="19">
        <v>535457.81999999983</v>
      </c>
      <c r="D9" s="19">
        <v>821267.33999999973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64">
        <f t="shared" si="1"/>
        <v>535457.81999999983</v>
      </c>
      <c r="N9" s="164">
        <f t="shared" si="1"/>
        <v>821267.33999999973</v>
      </c>
      <c r="O9" s="19">
        <f t="shared" si="2"/>
        <v>285809.5199999999</v>
      </c>
      <c r="P9" s="165">
        <f t="shared" si="3"/>
        <v>0.53376663730487683</v>
      </c>
      <c r="Q9" s="166">
        <f t="shared" si="4"/>
        <v>2.7851416019391943E-2</v>
      </c>
      <c r="R9" s="19">
        <f t="shared" si="5"/>
        <v>234499.82719999988</v>
      </c>
      <c r="S9" s="19">
        <v>8676114</v>
      </c>
      <c r="T9" s="19">
        <v>269448.56000000139</v>
      </c>
      <c r="U9" s="19">
        <v>1316376</v>
      </c>
      <c r="V9" s="19">
        <f t="shared" si="6"/>
        <v>10261938.560000001</v>
      </c>
      <c r="W9" s="102">
        <f t="shared" si="0"/>
        <v>105775</v>
      </c>
    </row>
    <row r="10" spans="1:23" x14ac:dyDescent="0.25">
      <c r="A10" s="6" t="s">
        <v>69</v>
      </c>
      <c r="B10" s="5" t="s">
        <v>476</v>
      </c>
      <c r="C10" s="19">
        <v>364345.57999999961</v>
      </c>
      <c r="D10" s="19">
        <v>698522.39000000048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64">
        <f t="shared" si="1"/>
        <v>364345.57999999961</v>
      </c>
      <c r="N10" s="164">
        <f t="shared" si="1"/>
        <v>698522.39000000048</v>
      </c>
      <c r="O10" s="19">
        <f t="shared" si="2"/>
        <v>334176.81000000087</v>
      </c>
      <c r="P10" s="165">
        <f t="shared" si="3"/>
        <v>0.91719737618335095</v>
      </c>
      <c r="Q10" s="166">
        <f t="shared" si="4"/>
        <v>3.9505011501124274E-2</v>
      </c>
      <c r="R10" s="19">
        <f t="shared" si="5"/>
        <v>291881.31415000086</v>
      </c>
      <c r="S10" s="19">
        <v>7495285</v>
      </c>
      <c r="T10" s="19">
        <v>354367.17000000062</v>
      </c>
      <c r="U10" s="19">
        <v>609447</v>
      </c>
      <c r="V10" s="19">
        <f t="shared" si="6"/>
        <v>8459099.1700000018</v>
      </c>
      <c r="W10" s="102">
        <f t="shared" si="0"/>
        <v>131657</v>
      </c>
    </row>
    <row r="11" spans="1:23" x14ac:dyDescent="0.25">
      <c r="A11" s="6" t="s">
        <v>69</v>
      </c>
      <c r="B11" s="5" t="s">
        <v>83</v>
      </c>
      <c r="C11" s="19">
        <v>174423.06999999992</v>
      </c>
      <c r="D11" s="19">
        <v>273856.05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64">
        <f t="shared" si="1"/>
        <v>174423.06999999992</v>
      </c>
      <c r="N11" s="164">
        <f t="shared" si="1"/>
        <v>273856.05</v>
      </c>
      <c r="O11" s="19">
        <f t="shared" si="2"/>
        <v>99432.980000000069</v>
      </c>
      <c r="P11" s="165">
        <f t="shared" si="3"/>
        <v>0.57006782417027813</v>
      </c>
      <c r="Q11" s="166">
        <f t="shared" si="4"/>
        <v>4.387284619589088E-2</v>
      </c>
      <c r="R11" s="19">
        <f t="shared" si="5"/>
        <v>88101.029987453017</v>
      </c>
      <c r="S11" s="19">
        <v>1875350</v>
      </c>
      <c r="T11" s="19">
        <v>58871.519999999997</v>
      </c>
      <c r="U11" s="19">
        <v>332168.4825094096</v>
      </c>
      <c r="V11" s="19">
        <f t="shared" si="6"/>
        <v>2266390.0025094096</v>
      </c>
      <c r="W11" s="102">
        <f t="shared" si="0"/>
        <v>39739</v>
      </c>
    </row>
    <row r="12" spans="1:23" x14ac:dyDescent="0.25">
      <c r="A12" s="6" t="s">
        <v>69</v>
      </c>
      <c r="B12" s="5" t="s">
        <v>605</v>
      </c>
      <c r="C12" s="19">
        <v>528310.59999999986</v>
      </c>
      <c r="D12" s="19">
        <v>726535.20000000007</v>
      </c>
      <c r="E12" s="19">
        <v>27052.410000000003</v>
      </c>
      <c r="F12" s="19">
        <v>38174.400000000009</v>
      </c>
      <c r="G12" s="19">
        <v>833.33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64">
        <f t="shared" si="1"/>
        <v>554529.67999999993</v>
      </c>
      <c r="N12" s="164">
        <f t="shared" si="1"/>
        <v>764709.60000000009</v>
      </c>
      <c r="O12" s="19">
        <f t="shared" si="2"/>
        <v>210179.92000000016</v>
      </c>
      <c r="P12" s="165">
        <f t="shared" si="3"/>
        <v>0.37902375216417661</v>
      </c>
      <c r="Q12" s="166">
        <f t="shared" si="4"/>
        <v>1.2754050945965918E-2</v>
      </c>
      <c r="R12" s="19">
        <f t="shared" si="5"/>
        <v>127782.60134004934</v>
      </c>
      <c r="S12" s="19">
        <v>14539911</v>
      </c>
      <c r="T12" s="19">
        <v>906621.55000000889</v>
      </c>
      <c r="U12" s="19">
        <v>1032931.1819901536</v>
      </c>
      <c r="V12" s="19">
        <f t="shared" si="6"/>
        <v>16479463.731990162</v>
      </c>
      <c r="W12" s="102">
        <f t="shared" si="0"/>
        <v>57638</v>
      </c>
    </row>
    <row r="13" spans="1:23" x14ac:dyDescent="0.25">
      <c r="A13" s="6" t="s">
        <v>69</v>
      </c>
      <c r="B13" s="5" t="s">
        <v>68</v>
      </c>
      <c r="C13" s="19">
        <v>414634.25</v>
      </c>
      <c r="D13" s="19">
        <v>687111.39999999979</v>
      </c>
      <c r="E13" s="19">
        <v>0</v>
      </c>
      <c r="F13" s="19">
        <v>73.14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64">
        <f t="shared" si="1"/>
        <v>414634.25</v>
      </c>
      <c r="N13" s="164">
        <f t="shared" si="1"/>
        <v>687184.5399999998</v>
      </c>
      <c r="O13" s="19">
        <f t="shared" si="2"/>
        <v>272550.2899999998</v>
      </c>
      <c r="P13" s="165">
        <f t="shared" si="3"/>
        <v>0.65732700566824809</v>
      </c>
      <c r="Q13" s="166">
        <f t="shared" si="4"/>
        <v>1.5775539557578593E-2</v>
      </c>
      <c r="R13" s="19">
        <f t="shared" si="5"/>
        <v>186166.4648999999</v>
      </c>
      <c r="S13" s="19">
        <v>15492921</v>
      </c>
      <c r="T13" s="19">
        <v>1783844.01999998</v>
      </c>
      <c r="U13" s="19">
        <v>0</v>
      </c>
      <c r="V13" s="19">
        <f t="shared" si="6"/>
        <v>17276765.019999981</v>
      </c>
      <c r="W13" s="102">
        <f t="shared" si="0"/>
        <v>83973</v>
      </c>
    </row>
    <row r="14" spans="1:23" x14ac:dyDescent="0.25">
      <c r="A14" s="6" t="s">
        <v>69</v>
      </c>
      <c r="B14" s="5" t="s">
        <v>470</v>
      </c>
      <c r="C14" s="19">
        <v>183255</v>
      </c>
      <c r="D14" s="19">
        <v>279680.09999999998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64">
        <f t="shared" si="1"/>
        <v>183255</v>
      </c>
      <c r="N14" s="164">
        <f t="shared" si="1"/>
        <v>279680.09999999998</v>
      </c>
      <c r="O14" s="19">
        <f t="shared" si="2"/>
        <v>96425.099999999977</v>
      </c>
      <c r="P14" s="165">
        <f t="shared" si="3"/>
        <v>0.52617991323565505</v>
      </c>
      <c r="Q14" s="166">
        <f t="shared" si="4"/>
        <v>1.3323352705143366E-2</v>
      </c>
      <c r="R14" s="19">
        <f t="shared" si="5"/>
        <v>60238.600199999979</v>
      </c>
      <c r="S14" s="19">
        <v>6778070</v>
      </c>
      <c r="T14" s="19">
        <v>150621.9600000002</v>
      </c>
      <c r="U14" s="19">
        <v>308608</v>
      </c>
      <c r="V14" s="19">
        <f t="shared" si="6"/>
        <v>7237299.96</v>
      </c>
      <c r="W14" s="102">
        <f t="shared" si="0"/>
        <v>27171</v>
      </c>
    </row>
    <row r="15" spans="1:23" x14ac:dyDescent="0.25">
      <c r="A15" s="6" t="s">
        <v>69</v>
      </c>
      <c r="B15" s="5" t="s">
        <v>468</v>
      </c>
      <c r="C15" s="19">
        <v>1191332.47</v>
      </c>
      <c r="D15" s="19">
        <v>2380093.089999998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64">
        <f t="shared" si="1"/>
        <v>1191332.47</v>
      </c>
      <c r="N15" s="164">
        <f t="shared" si="1"/>
        <v>2380093.089999998</v>
      </c>
      <c r="O15" s="19">
        <f t="shared" si="2"/>
        <v>1188760.619999998</v>
      </c>
      <c r="P15" s="165">
        <f t="shared" si="3"/>
        <v>0.99784119877132027</v>
      </c>
      <c r="Q15" s="166">
        <f t="shared" si="4"/>
        <v>3.0891545841444636E-2</v>
      </c>
      <c r="R15" s="19">
        <f t="shared" si="5"/>
        <v>996351.89009999798</v>
      </c>
      <c r="S15" s="19">
        <v>37495778</v>
      </c>
      <c r="T15" s="19">
        <v>985967.98000000103</v>
      </c>
      <c r="U15" s="19">
        <v>0</v>
      </c>
      <c r="V15" s="19">
        <f t="shared" si="6"/>
        <v>38481745.980000004</v>
      </c>
      <c r="W15" s="102">
        <f t="shared" si="0"/>
        <v>449419</v>
      </c>
    </row>
    <row r="16" spans="1:23" x14ac:dyDescent="0.25">
      <c r="A16" s="6" t="s">
        <v>69</v>
      </c>
      <c r="B16" s="5" t="s">
        <v>466</v>
      </c>
      <c r="C16" s="19">
        <v>584532.38000000035</v>
      </c>
      <c r="D16" s="19">
        <v>973432.42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64">
        <f t="shared" si="1"/>
        <v>584532.38000000035</v>
      </c>
      <c r="N16" s="164">
        <f t="shared" si="1"/>
        <v>973432.42</v>
      </c>
      <c r="O16" s="19">
        <f t="shared" si="2"/>
        <v>388900.03999999969</v>
      </c>
      <c r="P16" s="165">
        <f t="shared" si="3"/>
        <v>0.66531821556232607</v>
      </c>
      <c r="Q16" s="166">
        <f t="shared" si="4"/>
        <v>2.3069347477612075E-2</v>
      </c>
      <c r="R16" s="19">
        <f t="shared" si="5"/>
        <v>304610.69449999963</v>
      </c>
      <c r="S16" s="19">
        <v>16445354</v>
      </c>
      <c r="T16" s="19">
        <v>412515.10000000405</v>
      </c>
      <c r="U16" s="19">
        <v>0</v>
      </c>
      <c r="V16" s="19">
        <f t="shared" si="6"/>
        <v>16857869.100000005</v>
      </c>
      <c r="W16" s="102">
        <f t="shared" si="0"/>
        <v>137399</v>
      </c>
    </row>
    <row r="17" spans="1:23" x14ac:dyDescent="0.25">
      <c r="A17" s="6" t="s">
        <v>69</v>
      </c>
      <c r="B17" s="5" t="s">
        <v>464</v>
      </c>
      <c r="C17" s="19">
        <v>933931.62000000058</v>
      </c>
      <c r="D17" s="19">
        <v>1384494.67</v>
      </c>
      <c r="E17" s="19">
        <v>196274.65</v>
      </c>
      <c r="F17" s="19">
        <v>341054.44999999984</v>
      </c>
      <c r="G17" s="19">
        <v>16122.979999999998</v>
      </c>
      <c r="H17" s="19">
        <v>23140.58</v>
      </c>
      <c r="I17" s="19">
        <v>-11047.559999999998</v>
      </c>
      <c r="J17" s="19">
        <v>-6498.3600000000015</v>
      </c>
      <c r="K17" s="19">
        <v>31177.64</v>
      </c>
      <c r="L17" s="19">
        <v>68722.090000000011</v>
      </c>
      <c r="M17" s="164">
        <f t="shared" si="1"/>
        <v>1093953.2100000007</v>
      </c>
      <c r="N17" s="164">
        <f t="shared" si="1"/>
        <v>1640184.8099999996</v>
      </c>
      <c r="O17" s="19">
        <f t="shared" si="2"/>
        <v>546231.59999999893</v>
      </c>
      <c r="P17" s="165">
        <f t="shared" si="3"/>
        <v>0.49931897909966239</v>
      </c>
      <c r="Q17" s="166">
        <f t="shared" si="4"/>
        <v>1.5030729339353108E-2</v>
      </c>
      <c r="R17" s="19">
        <f t="shared" si="5"/>
        <v>364526.64488186373</v>
      </c>
      <c r="S17" s="19">
        <v>35202307</v>
      </c>
      <c r="T17" s="19">
        <v>786348.27000000398</v>
      </c>
      <c r="U17" s="19">
        <v>352335.75362703623</v>
      </c>
      <c r="V17" s="19">
        <f t="shared" si="6"/>
        <v>36340991.023627043</v>
      </c>
      <c r="W17" s="102">
        <f t="shared" si="0"/>
        <v>164425</v>
      </c>
    </row>
    <row r="18" spans="1:23" x14ac:dyDescent="0.25">
      <c r="A18" s="6" t="s">
        <v>69</v>
      </c>
      <c r="B18" s="5" t="s">
        <v>587</v>
      </c>
      <c r="C18" s="19">
        <v>14356316.950000009</v>
      </c>
      <c r="D18" s="19">
        <v>27312475.850000009</v>
      </c>
      <c r="E18" s="19">
        <v>980553.28999999969</v>
      </c>
      <c r="F18" s="19">
        <v>1880991.2099999988</v>
      </c>
      <c r="G18" s="19">
        <v>4071.68</v>
      </c>
      <c r="H18" s="19">
        <v>11834.759999999998</v>
      </c>
      <c r="I18" s="19">
        <v>2631.5</v>
      </c>
      <c r="J18" s="19">
        <v>4337.6000000000004</v>
      </c>
      <c r="K18" s="19">
        <v>0</v>
      </c>
      <c r="L18" s="19">
        <v>0</v>
      </c>
      <c r="M18" s="164">
        <f t="shared" si="1"/>
        <v>15330167.060000008</v>
      </c>
      <c r="N18" s="164">
        <f t="shared" si="1"/>
        <v>29177294.700000003</v>
      </c>
      <c r="O18" s="19">
        <f t="shared" si="2"/>
        <v>13847127.639999995</v>
      </c>
      <c r="P18" s="165">
        <f t="shared" si="3"/>
        <v>0.9032600614073143</v>
      </c>
      <c r="Q18" s="166">
        <f t="shared" si="4"/>
        <v>2.2177154331854479E-2</v>
      </c>
      <c r="R18" s="19">
        <f t="shared" si="5"/>
        <v>10725192.464549989</v>
      </c>
      <c r="S18" s="19">
        <v>598392598</v>
      </c>
      <c r="T18" s="19">
        <v>25994437.090001203</v>
      </c>
      <c r="U18" s="19">
        <v>0</v>
      </c>
      <c r="V18" s="19">
        <f t="shared" si="6"/>
        <v>624387035.09000123</v>
      </c>
      <c r="W18" s="102">
        <f t="shared" si="0"/>
        <v>4837752</v>
      </c>
    </row>
    <row r="19" spans="1:23" x14ac:dyDescent="0.25">
      <c r="A19" s="6" t="s">
        <v>69</v>
      </c>
      <c r="B19" s="5" t="s">
        <v>460</v>
      </c>
      <c r="C19" s="19">
        <v>793099.71000000008</v>
      </c>
      <c r="D19" s="19">
        <v>1382545.02</v>
      </c>
      <c r="E19" s="19">
        <v>36846.11</v>
      </c>
      <c r="F19" s="19">
        <v>146898.82</v>
      </c>
      <c r="G19" s="19">
        <v>13891.019999999999</v>
      </c>
      <c r="H19" s="19">
        <v>44274.92</v>
      </c>
      <c r="I19" s="19">
        <v>0</v>
      </c>
      <c r="J19" s="19">
        <v>0</v>
      </c>
      <c r="K19" s="19">
        <v>0</v>
      </c>
      <c r="L19" s="19">
        <v>0</v>
      </c>
      <c r="M19" s="164">
        <f t="shared" si="1"/>
        <v>816054.8</v>
      </c>
      <c r="N19" s="164">
        <f t="shared" si="1"/>
        <v>1485168.9200000002</v>
      </c>
      <c r="O19" s="19">
        <f t="shared" si="2"/>
        <v>669114.12000000011</v>
      </c>
      <c r="P19" s="165">
        <f t="shared" si="3"/>
        <v>0.81993772967207601</v>
      </c>
      <c r="Q19" s="166">
        <f t="shared" si="4"/>
        <v>1.7481640166839098E-2</v>
      </c>
      <c r="R19" s="19">
        <f t="shared" si="5"/>
        <v>477737.87795000017</v>
      </c>
      <c r="S19" s="19">
        <v>35735996</v>
      </c>
      <c r="T19" s="19">
        <v>2539252.4099999899</v>
      </c>
      <c r="U19" s="19">
        <v>0</v>
      </c>
      <c r="V19" s="19">
        <f t="shared" si="6"/>
        <v>38275248.409999989</v>
      </c>
      <c r="W19" s="102">
        <f t="shared" si="0"/>
        <v>215491</v>
      </c>
    </row>
    <row r="20" spans="1:23" x14ac:dyDescent="0.25">
      <c r="A20" s="6" t="s">
        <v>67</v>
      </c>
      <c r="B20" s="5" t="s">
        <v>591</v>
      </c>
      <c r="C20" s="19">
        <v>495387.97999999992</v>
      </c>
      <c r="D20" s="19">
        <v>703046.52000000037</v>
      </c>
      <c r="E20" s="19">
        <v>66437.820000000007</v>
      </c>
      <c r="F20" s="19">
        <v>106081.32</v>
      </c>
      <c r="G20" s="19">
        <v>-917.56999999999994</v>
      </c>
      <c r="H20" s="19">
        <v>0</v>
      </c>
      <c r="I20" s="19">
        <v>917.56999999999994</v>
      </c>
      <c r="J20" s="19">
        <v>0</v>
      </c>
      <c r="K20" s="19">
        <v>0</v>
      </c>
      <c r="L20" s="19">
        <v>0</v>
      </c>
      <c r="M20" s="164">
        <f t="shared" si="1"/>
        <v>561825.79999999993</v>
      </c>
      <c r="N20" s="164">
        <f t="shared" si="1"/>
        <v>809127.84000000032</v>
      </c>
      <c r="O20" s="19">
        <f t="shared" si="2"/>
        <v>247302.04000000039</v>
      </c>
      <c r="P20" s="165">
        <f t="shared" si="3"/>
        <v>0.44017565587055696</v>
      </c>
      <c r="Q20" s="166">
        <f t="shared" si="4"/>
        <v>2.1133262240930588E-2</v>
      </c>
      <c r="R20" s="19">
        <f t="shared" si="5"/>
        <v>188791.89680000037</v>
      </c>
      <c r="S20" s="19">
        <v>11329501</v>
      </c>
      <c r="T20" s="19">
        <v>372527.64000000304</v>
      </c>
      <c r="U20" s="19">
        <v>0</v>
      </c>
      <c r="V20" s="19">
        <f t="shared" si="6"/>
        <v>11702028.640000002</v>
      </c>
      <c r="W20" s="102">
        <f t="shared" si="0"/>
        <v>85157</v>
      </c>
    </row>
    <row r="21" spans="1:23" x14ac:dyDescent="0.25">
      <c r="A21" s="6" t="s">
        <v>58</v>
      </c>
      <c r="B21" s="5" t="s">
        <v>592</v>
      </c>
      <c r="C21" s="19">
        <v>321916.4499999999</v>
      </c>
      <c r="D21" s="19">
        <v>444810.41000000021</v>
      </c>
      <c r="E21" s="19">
        <v>104001.65999999999</v>
      </c>
      <c r="F21" s="19">
        <v>153941.20000000004</v>
      </c>
      <c r="G21" s="19">
        <v>-1459.36</v>
      </c>
      <c r="H21" s="19">
        <v>0</v>
      </c>
      <c r="I21" s="19">
        <v>1459.36</v>
      </c>
      <c r="J21" s="19">
        <v>0</v>
      </c>
      <c r="K21" s="19">
        <v>0</v>
      </c>
      <c r="L21" s="19">
        <v>0</v>
      </c>
      <c r="M21" s="164">
        <f t="shared" si="1"/>
        <v>425918.10999999987</v>
      </c>
      <c r="N21" s="164">
        <f t="shared" si="1"/>
        <v>598751.61000000022</v>
      </c>
      <c r="O21" s="19">
        <f t="shared" si="2"/>
        <v>172833.50000000035</v>
      </c>
      <c r="P21" s="165">
        <f t="shared" si="3"/>
        <v>0.4057904464311235</v>
      </c>
      <c r="Q21" s="166">
        <f t="shared" si="4"/>
        <v>3.3322324573351929E-2</v>
      </c>
      <c r="R21" s="19">
        <f t="shared" si="5"/>
        <v>146899.91010000033</v>
      </c>
      <c r="S21" s="19">
        <v>4145540</v>
      </c>
      <c r="T21" s="19">
        <v>484070.98000000202</v>
      </c>
      <c r="U21" s="19">
        <v>557107</v>
      </c>
      <c r="V21" s="19">
        <f t="shared" si="6"/>
        <v>5186717.9800000023</v>
      </c>
      <c r="W21" s="102">
        <f t="shared" si="0"/>
        <v>66261</v>
      </c>
    </row>
    <row r="22" spans="1:23" x14ac:dyDescent="0.25">
      <c r="A22" s="6" t="s">
        <v>58</v>
      </c>
      <c r="B22" s="5" t="s">
        <v>434</v>
      </c>
      <c r="C22" s="19">
        <v>361699.57000000012</v>
      </c>
      <c r="D22" s="19">
        <v>438038.59</v>
      </c>
      <c r="E22" s="19">
        <v>21834.07</v>
      </c>
      <c r="F22" s="19">
        <v>19338.21000000001</v>
      </c>
      <c r="G22" s="19">
        <v>2950.38</v>
      </c>
      <c r="H22" s="19">
        <v>0</v>
      </c>
      <c r="I22" s="19">
        <v>-11685.99</v>
      </c>
      <c r="J22" s="19">
        <v>-8833.57</v>
      </c>
      <c r="K22" s="19">
        <v>0</v>
      </c>
      <c r="L22" s="19">
        <v>0</v>
      </c>
      <c r="M22" s="164">
        <f t="shared" si="1"/>
        <v>392269.25000000012</v>
      </c>
      <c r="N22" s="164">
        <f t="shared" si="1"/>
        <v>466210.37000000005</v>
      </c>
      <c r="O22" s="19">
        <f t="shared" si="2"/>
        <v>73941.119999999937</v>
      </c>
      <c r="P22" s="165">
        <f t="shared" si="3"/>
        <v>0.1884958354497579</v>
      </c>
      <c r="Q22" s="166">
        <f t="shared" si="4"/>
        <v>6.3802139037253134E-3</v>
      </c>
      <c r="R22" s="19">
        <f t="shared" si="5"/>
        <v>15995.476549999927</v>
      </c>
      <c r="S22" s="19">
        <v>10496432</v>
      </c>
      <c r="T22" s="19">
        <v>195388.69000000041</v>
      </c>
      <c r="U22" s="19">
        <v>897308</v>
      </c>
      <c r="V22" s="19">
        <f t="shared" si="6"/>
        <v>11589128.690000001</v>
      </c>
      <c r="W22" s="102">
        <f t="shared" si="0"/>
        <v>7215</v>
      </c>
    </row>
    <row r="23" spans="1:23" x14ac:dyDescent="0.25">
      <c r="A23" s="6" t="s">
        <v>58</v>
      </c>
      <c r="B23" s="5" t="s">
        <v>57</v>
      </c>
      <c r="C23" s="19">
        <v>1542964.9999999991</v>
      </c>
      <c r="D23" s="19">
        <v>1939608.510000003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64">
        <f t="shared" si="1"/>
        <v>1542964.9999999991</v>
      </c>
      <c r="N23" s="164">
        <f t="shared" si="1"/>
        <v>1939608.510000003</v>
      </c>
      <c r="O23" s="19">
        <f t="shared" si="2"/>
        <v>396643.51000000397</v>
      </c>
      <c r="P23" s="165">
        <f t="shared" si="3"/>
        <v>0.25706578567887428</v>
      </c>
      <c r="Q23" s="166">
        <f t="shared" si="4"/>
        <v>1.308686209896375E-2</v>
      </c>
      <c r="R23" s="19">
        <f t="shared" si="5"/>
        <v>245100.87625000396</v>
      </c>
      <c r="S23" s="19">
        <v>24223219</v>
      </c>
      <c r="T23" s="19">
        <v>203695.75</v>
      </c>
      <c r="U23" s="19">
        <v>5881612</v>
      </c>
      <c r="V23" s="19">
        <f t="shared" si="6"/>
        <v>30308526.75</v>
      </c>
      <c r="W23" s="102">
        <f t="shared" si="0"/>
        <v>110556</v>
      </c>
    </row>
    <row r="24" spans="1:23" x14ac:dyDescent="0.25">
      <c r="A24" s="6" t="s">
        <v>58</v>
      </c>
      <c r="B24" s="5" t="s">
        <v>426</v>
      </c>
      <c r="C24" s="19">
        <v>454468.56000000006</v>
      </c>
      <c r="D24" s="19">
        <v>615199.87999999989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64">
        <f t="shared" si="1"/>
        <v>454468.56000000006</v>
      </c>
      <c r="N24" s="164">
        <f t="shared" si="1"/>
        <v>615199.87999999989</v>
      </c>
      <c r="O24" s="19">
        <f t="shared" si="2"/>
        <v>160731.31999999983</v>
      </c>
      <c r="P24" s="165">
        <f t="shared" si="3"/>
        <v>0.35366873343229677</v>
      </c>
      <c r="Q24" s="166">
        <f t="shared" si="4"/>
        <v>2.02243922752465E-2</v>
      </c>
      <c r="R24" s="19">
        <f t="shared" si="5"/>
        <v>120994.32374999984</v>
      </c>
      <c r="S24" s="19">
        <v>6282428</v>
      </c>
      <c r="T24" s="19">
        <v>275908.24999999959</v>
      </c>
      <c r="U24" s="19">
        <v>1389063</v>
      </c>
      <c r="V24" s="19">
        <f t="shared" si="6"/>
        <v>7947399.25</v>
      </c>
      <c r="W24" s="102">
        <f t="shared" si="0"/>
        <v>54576</v>
      </c>
    </row>
    <row r="25" spans="1:23" x14ac:dyDescent="0.25">
      <c r="A25" s="6" t="s">
        <v>58</v>
      </c>
      <c r="B25" s="5" t="s">
        <v>59</v>
      </c>
      <c r="C25" s="19">
        <v>1419660.2399999991</v>
      </c>
      <c r="D25" s="19">
        <v>1857545.3900000008</v>
      </c>
      <c r="E25" s="19">
        <v>32445.27</v>
      </c>
      <c r="F25" s="19">
        <v>45364.279999999992</v>
      </c>
      <c r="G25" s="19">
        <v>0</v>
      </c>
      <c r="H25" s="19">
        <v>1149.0999999999999</v>
      </c>
      <c r="I25" s="19">
        <v>4771.7700000000013</v>
      </c>
      <c r="J25" s="19">
        <v>19520.97</v>
      </c>
      <c r="K25" s="19">
        <v>0</v>
      </c>
      <c r="L25" s="19">
        <v>0</v>
      </c>
      <c r="M25" s="164">
        <f t="shared" si="1"/>
        <v>1447333.7399999991</v>
      </c>
      <c r="N25" s="164">
        <f t="shared" si="1"/>
        <v>1882239.6000000008</v>
      </c>
      <c r="O25" s="19">
        <f t="shared" si="2"/>
        <v>434905.86000000173</v>
      </c>
      <c r="P25" s="165">
        <f t="shared" si="3"/>
        <v>0.30048761248390576</v>
      </c>
      <c r="Q25" s="166">
        <f t="shared" si="4"/>
        <v>8.4592734907205092E-3</v>
      </c>
      <c r="R25" s="19">
        <f t="shared" si="5"/>
        <v>177847.22460000173</v>
      </c>
      <c r="S25" s="19">
        <v>35035817</v>
      </c>
      <c r="T25" s="19">
        <v>287727.08000000019</v>
      </c>
      <c r="U25" s="19">
        <v>16088183</v>
      </c>
      <c r="V25" s="19">
        <f t="shared" si="6"/>
        <v>51411727.079999998</v>
      </c>
      <c r="W25" s="102">
        <f t="shared" si="0"/>
        <v>80221</v>
      </c>
    </row>
    <row r="26" spans="1:23" x14ac:dyDescent="0.25">
      <c r="A26" s="6" t="s">
        <v>58</v>
      </c>
      <c r="B26" s="5" t="s">
        <v>62</v>
      </c>
      <c r="C26" s="19">
        <v>203688.18</v>
      </c>
      <c r="D26" s="19">
        <v>277023.24999999977</v>
      </c>
      <c r="E26" s="19">
        <v>92165.21</v>
      </c>
      <c r="F26" s="19">
        <v>148134.71000000002</v>
      </c>
      <c r="G26" s="19">
        <v>-5456.0300000000007</v>
      </c>
      <c r="H26" s="19">
        <v>-7634.2099999999982</v>
      </c>
      <c r="I26" s="19">
        <v>5469.2300000000014</v>
      </c>
      <c r="J26" s="19">
        <v>7634.21</v>
      </c>
      <c r="K26" s="19">
        <v>0</v>
      </c>
      <c r="L26" s="19">
        <v>0</v>
      </c>
      <c r="M26" s="164">
        <f t="shared" si="1"/>
        <v>295840.19000000006</v>
      </c>
      <c r="N26" s="164">
        <f t="shared" si="1"/>
        <v>425157.95999999979</v>
      </c>
      <c r="O26" s="19">
        <f t="shared" si="2"/>
        <v>129317.76999999973</v>
      </c>
      <c r="P26" s="165">
        <f t="shared" si="3"/>
        <v>0.43712035879911948</v>
      </c>
      <c r="Q26" s="166">
        <f t="shared" si="4"/>
        <v>2.6374131389806089E-2</v>
      </c>
      <c r="R26" s="19">
        <f t="shared" si="5"/>
        <v>104801.74554999973</v>
      </c>
      <c r="S26" s="19">
        <v>3456566</v>
      </c>
      <c r="T26" s="19">
        <v>296899.890000001</v>
      </c>
      <c r="U26" s="19">
        <v>1149739</v>
      </c>
      <c r="V26" s="19">
        <f t="shared" si="6"/>
        <v>4903204.8900000006</v>
      </c>
      <c r="W26" s="102">
        <f t="shared" si="0"/>
        <v>47272</v>
      </c>
    </row>
    <row r="27" spans="1:23" x14ac:dyDescent="0.25">
      <c r="A27" s="6" t="s">
        <v>58</v>
      </c>
      <c r="B27" s="5" t="s">
        <v>61</v>
      </c>
      <c r="C27" s="19">
        <v>504538.6</v>
      </c>
      <c r="D27" s="19">
        <v>636714.36999999988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64">
        <f t="shared" si="1"/>
        <v>504538.6</v>
      </c>
      <c r="N27" s="164">
        <f t="shared" si="1"/>
        <v>636714.36999999988</v>
      </c>
      <c r="O27" s="19">
        <f t="shared" si="2"/>
        <v>132175.7699999999</v>
      </c>
      <c r="P27" s="165">
        <f t="shared" si="3"/>
        <v>0.26197355365872887</v>
      </c>
      <c r="Q27" s="166">
        <f t="shared" si="4"/>
        <v>1.2168088571915342E-2</v>
      </c>
      <c r="R27" s="19">
        <f t="shared" si="5"/>
        <v>77863.307849999896</v>
      </c>
      <c r="S27" s="19">
        <v>8609979</v>
      </c>
      <c r="T27" s="19">
        <v>96658.430000000008</v>
      </c>
      <c r="U27" s="19">
        <v>2155855</v>
      </c>
      <c r="V27" s="19">
        <f t="shared" si="6"/>
        <v>10862492.43</v>
      </c>
      <c r="W27" s="102">
        <f t="shared" si="0"/>
        <v>35121</v>
      </c>
    </row>
    <row r="28" spans="1:23" x14ac:dyDescent="0.25">
      <c r="A28" s="6" t="s">
        <v>58</v>
      </c>
      <c r="B28" s="5" t="s">
        <v>64</v>
      </c>
      <c r="C28" s="19">
        <v>243990.58999999991</v>
      </c>
      <c r="D28" s="19">
        <v>293232.17000000022</v>
      </c>
      <c r="E28" s="19">
        <v>48544.509999999995</v>
      </c>
      <c r="F28" s="19">
        <v>70686.749999999985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64">
        <f t="shared" si="1"/>
        <v>292535.09999999992</v>
      </c>
      <c r="N28" s="164">
        <f t="shared" si="1"/>
        <v>363918.92000000022</v>
      </c>
      <c r="O28" s="19">
        <f t="shared" si="2"/>
        <v>71383.820000000298</v>
      </c>
      <c r="P28" s="165">
        <f t="shared" si="3"/>
        <v>0.244017965707364</v>
      </c>
      <c r="Q28" s="166">
        <f t="shared" si="4"/>
        <v>1.3379967578763365E-2</v>
      </c>
      <c r="R28" s="19">
        <f t="shared" si="5"/>
        <v>44708.187350000298</v>
      </c>
      <c r="S28" s="19">
        <v>4857361</v>
      </c>
      <c r="T28" s="19">
        <v>147387.52999999991</v>
      </c>
      <c r="U28" s="19">
        <v>330378</v>
      </c>
      <c r="V28" s="19">
        <f t="shared" si="6"/>
        <v>5335126.53</v>
      </c>
      <c r="W28" s="102">
        <f t="shared" si="0"/>
        <v>20166</v>
      </c>
    </row>
    <row r="29" spans="1:23" x14ac:dyDescent="0.25">
      <c r="A29" s="6" t="s">
        <v>55</v>
      </c>
      <c r="B29" s="5" t="s">
        <v>409</v>
      </c>
      <c r="C29" s="19">
        <v>709809.87</v>
      </c>
      <c r="D29" s="19">
        <v>1084098.2999999998</v>
      </c>
      <c r="E29" s="19">
        <v>45740.28</v>
      </c>
      <c r="F29" s="19">
        <v>104245.59000000001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64">
        <f t="shared" si="1"/>
        <v>755550.15</v>
      </c>
      <c r="N29" s="164">
        <f t="shared" si="1"/>
        <v>1188343.8899999999</v>
      </c>
      <c r="O29" s="19">
        <f t="shared" si="2"/>
        <v>432793.73999999987</v>
      </c>
      <c r="P29" s="165">
        <f t="shared" si="3"/>
        <v>0.57281934230308851</v>
      </c>
      <c r="Q29" s="166">
        <f t="shared" si="4"/>
        <v>2.9934110362884615E-2</v>
      </c>
      <c r="R29" s="19">
        <f t="shared" si="5"/>
        <v>360502.67559999984</v>
      </c>
      <c r="S29" s="19">
        <v>11972035</v>
      </c>
      <c r="T29" s="19">
        <v>498974.88000000198</v>
      </c>
      <c r="U29" s="19">
        <v>1987203</v>
      </c>
      <c r="V29" s="19">
        <f t="shared" si="6"/>
        <v>14458212.880000003</v>
      </c>
      <c r="W29" s="102">
        <f t="shared" si="0"/>
        <v>162610</v>
      </c>
    </row>
    <row r="30" spans="1:23" x14ac:dyDescent="0.25">
      <c r="A30" s="6" t="s">
        <v>55</v>
      </c>
      <c r="B30" s="5" t="s">
        <v>593</v>
      </c>
      <c r="C30" s="19">
        <v>254416.53000000012</v>
      </c>
      <c r="D30" s="19">
        <v>330899.85999999987</v>
      </c>
      <c r="E30" s="19">
        <v>17463.66</v>
      </c>
      <c r="F30" s="19">
        <v>14253.93</v>
      </c>
      <c r="G30" s="19">
        <v>3396.3199999999997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64">
        <f t="shared" si="1"/>
        <v>268483.87000000011</v>
      </c>
      <c r="N30" s="164">
        <f t="shared" si="1"/>
        <v>345153.78999999986</v>
      </c>
      <c r="O30" s="19">
        <f t="shared" si="2"/>
        <v>76669.919999999751</v>
      </c>
      <c r="P30" s="165">
        <f t="shared" si="3"/>
        <v>0.28556620552288559</v>
      </c>
      <c r="Q30" s="166">
        <f t="shared" si="4"/>
        <v>1.4390105819133957E-2</v>
      </c>
      <c r="R30" s="19">
        <f t="shared" si="5"/>
        <v>50030.115899999742</v>
      </c>
      <c r="S30" s="19">
        <v>3915937</v>
      </c>
      <c r="T30" s="19">
        <v>312509.820000001</v>
      </c>
      <c r="U30" s="19">
        <v>1099514</v>
      </c>
      <c r="V30" s="19">
        <f t="shared" si="6"/>
        <v>5327960.8200000012</v>
      </c>
      <c r="W30" s="102">
        <f t="shared" si="0"/>
        <v>22567</v>
      </c>
    </row>
    <row r="31" spans="1:23" x14ac:dyDescent="0.25">
      <c r="A31" s="6" t="s">
        <v>55</v>
      </c>
      <c r="B31" s="5" t="s">
        <v>397</v>
      </c>
      <c r="C31" s="19">
        <v>400134.2299999994</v>
      </c>
      <c r="D31" s="19">
        <v>618721.02999999956</v>
      </c>
      <c r="E31" s="19">
        <v>92133.24</v>
      </c>
      <c r="F31" s="19">
        <v>176168.51000000004</v>
      </c>
      <c r="G31" s="19">
        <v>34531.660000000003</v>
      </c>
      <c r="H31" s="19">
        <v>56291.829999999994</v>
      </c>
      <c r="I31" s="19">
        <v>0</v>
      </c>
      <c r="J31" s="19">
        <v>1315.27</v>
      </c>
      <c r="K31" s="19">
        <v>0</v>
      </c>
      <c r="L31" s="19">
        <v>1328.26</v>
      </c>
      <c r="M31" s="164">
        <f t="shared" si="1"/>
        <v>457735.80999999936</v>
      </c>
      <c r="N31" s="164">
        <f t="shared" si="1"/>
        <v>735954.17999999959</v>
      </c>
      <c r="O31" s="19">
        <f t="shared" si="2"/>
        <v>278218.37000000023</v>
      </c>
      <c r="P31" s="165">
        <f t="shared" si="3"/>
        <v>0.60781429794623376</v>
      </c>
      <c r="Q31" s="166">
        <f t="shared" si="4"/>
        <v>2.6918493984573719E-2</v>
      </c>
      <c r="R31" s="19">
        <f t="shared" si="5"/>
        <v>226540.44734960236</v>
      </c>
      <c r="S31" s="19">
        <v>8677042</v>
      </c>
      <c r="T31" s="19">
        <v>417285.760000001</v>
      </c>
      <c r="U31" s="19">
        <v>1241256.7700795736</v>
      </c>
      <c r="V31" s="19">
        <f t="shared" si="6"/>
        <v>10335584.530079575</v>
      </c>
      <c r="W31" s="102">
        <f t="shared" si="0"/>
        <v>102184</v>
      </c>
    </row>
    <row r="32" spans="1:23" x14ac:dyDescent="0.25">
      <c r="A32" s="6" t="s">
        <v>52</v>
      </c>
      <c r="B32" s="5" t="s">
        <v>594</v>
      </c>
      <c r="C32" s="19">
        <v>527266.87999999942</v>
      </c>
      <c r="D32" s="19">
        <v>718589.15999999968</v>
      </c>
      <c r="E32" s="19">
        <v>53739.199999999997</v>
      </c>
      <c r="F32" s="19">
        <v>60707.520000000004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64">
        <f t="shared" si="1"/>
        <v>581006.07999999938</v>
      </c>
      <c r="N32" s="164">
        <f t="shared" si="1"/>
        <v>779296.6799999997</v>
      </c>
      <c r="O32" s="19">
        <f t="shared" si="2"/>
        <v>198290.60000000033</v>
      </c>
      <c r="P32" s="165">
        <f t="shared" si="3"/>
        <v>0.34128833901359612</v>
      </c>
      <c r="Q32" s="166">
        <f t="shared" si="4"/>
        <v>1.8842380264822996E-2</v>
      </c>
      <c r="R32" s="19">
        <f t="shared" si="5"/>
        <v>145672.35400000031</v>
      </c>
      <c r="S32" s="19">
        <v>8311468</v>
      </c>
      <c r="T32" s="19">
        <v>620748.200000001</v>
      </c>
      <c r="U32" s="19">
        <v>1591433</v>
      </c>
      <c r="V32" s="19">
        <f t="shared" si="6"/>
        <v>10523649.200000001</v>
      </c>
      <c r="W32" s="102">
        <f t="shared" si="0"/>
        <v>65708</v>
      </c>
    </row>
    <row r="33" spans="1:23" x14ac:dyDescent="0.25">
      <c r="A33" s="6" t="s">
        <v>52</v>
      </c>
      <c r="B33" s="5" t="s">
        <v>51</v>
      </c>
      <c r="C33" s="19">
        <v>524227.72999999992</v>
      </c>
      <c r="D33" s="19">
        <v>705570.46000000043</v>
      </c>
      <c r="E33" s="19">
        <v>77402.48</v>
      </c>
      <c r="F33" s="19">
        <v>103492.31000000003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64">
        <f t="shared" si="1"/>
        <v>601630.21</v>
      </c>
      <c r="N33" s="164">
        <f t="shared" si="1"/>
        <v>809062.77000000048</v>
      </c>
      <c r="O33" s="19">
        <f t="shared" si="2"/>
        <v>207432.56000000052</v>
      </c>
      <c r="P33" s="165">
        <f t="shared" si="3"/>
        <v>0.34478414905395205</v>
      </c>
      <c r="Q33" s="166">
        <f t="shared" si="4"/>
        <v>1.9271717399664292E-2</v>
      </c>
      <c r="R33" s="19">
        <f t="shared" si="5"/>
        <v>153614.68905000051</v>
      </c>
      <c r="S33" s="19">
        <v>10359413</v>
      </c>
      <c r="T33" s="19">
        <v>264068.19000000099</v>
      </c>
      <c r="U33" s="19">
        <v>140093</v>
      </c>
      <c r="V33" s="19">
        <f t="shared" si="6"/>
        <v>10763574.190000001</v>
      </c>
      <c r="W33" s="102">
        <f t="shared" si="0"/>
        <v>69290</v>
      </c>
    </row>
    <row r="34" spans="1:23" x14ac:dyDescent="0.25">
      <c r="A34" s="6" t="s">
        <v>52</v>
      </c>
      <c r="B34" s="5" t="s">
        <v>370</v>
      </c>
      <c r="C34" s="19">
        <v>471445.91999999987</v>
      </c>
      <c r="D34" s="19">
        <v>623903.92999999924</v>
      </c>
      <c r="E34" s="19">
        <v>26704.23</v>
      </c>
      <c r="F34" s="19">
        <v>30305.200000000001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64">
        <f t="shared" si="1"/>
        <v>498150.14999999985</v>
      </c>
      <c r="N34" s="164">
        <f t="shared" si="1"/>
        <v>654209.12999999919</v>
      </c>
      <c r="O34" s="19">
        <f t="shared" si="2"/>
        <v>156058.97999999934</v>
      </c>
      <c r="P34" s="165">
        <f t="shared" si="3"/>
        <v>0.31327699088316918</v>
      </c>
      <c r="Q34" s="166">
        <f t="shared" si="4"/>
        <v>1.3398979983918865E-2</v>
      </c>
      <c r="R34" s="19">
        <f t="shared" si="5"/>
        <v>97823.584399999352</v>
      </c>
      <c r="S34" s="19">
        <v>10004321</v>
      </c>
      <c r="T34" s="19">
        <v>533825.12</v>
      </c>
      <c r="U34" s="19">
        <v>1108933</v>
      </c>
      <c r="V34" s="19">
        <f t="shared" si="6"/>
        <v>11647079.119999999</v>
      </c>
      <c r="W34" s="102">
        <f t="shared" si="0"/>
        <v>44125</v>
      </c>
    </row>
    <row r="35" spans="1:23" x14ac:dyDescent="0.25">
      <c r="A35" s="6" t="s">
        <v>47</v>
      </c>
      <c r="B35" s="5" t="s">
        <v>48</v>
      </c>
      <c r="C35" s="19">
        <v>407662.05999999988</v>
      </c>
      <c r="D35" s="19">
        <v>552792.16000000015</v>
      </c>
      <c r="E35" s="19">
        <v>37788.610000000015</v>
      </c>
      <c r="F35" s="19">
        <v>60096.929999999978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64">
        <f t="shared" si="1"/>
        <v>445450.66999999993</v>
      </c>
      <c r="N35" s="164">
        <f t="shared" si="1"/>
        <v>612889.09000000008</v>
      </c>
      <c r="O35" s="19">
        <f t="shared" si="2"/>
        <v>167438.42000000016</v>
      </c>
      <c r="P35" s="165">
        <f t="shared" si="3"/>
        <v>0.37588543755024584</v>
      </c>
      <c r="Q35" s="166">
        <f t="shared" si="4"/>
        <v>1.2384993297528107E-2</v>
      </c>
      <c r="R35" s="19">
        <f t="shared" si="5"/>
        <v>99841.120600000155</v>
      </c>
      <c r="S35" s="19">
        <v>12003630</v>
      </c>
      <c r="T35" s="19">
        <v>393003.88000000088</v>
      </c>
      <c r="U35" s="19">
        <v>1122826</v>
      </c>
      <c r="V35" s="19">
        <f t="shared" si="6"/>
        <v>13519459.880000001</v>
      </c>
      <c r="W35" s="102">
        <f t="shared" si="0"/>
        <v>45035</v>
      </c>
    </row>
    <row r="36" spans="1:23" x14ac:dyDescent="0.25">
      <c r="A36" s="6" t="s">
        <v>47</v>
      </c>
      <c r="B36" s="5" t="s">
        <v>353</v>
      </c>
      <c r="C36" s="19">
        <v>376915.88000000018</v>
      </c>
      <c r="D36" s="19">
        <v>522670.27000000008</v>
      </c>
      <c r="E36" s="19">
        <v>2139.92</v>
      </c>
      <c r="F36" s="19">
        <v>5812.02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64">
        <f t="shared" si="1"/>
        <v>379055.80000000016</v>
      </c>
      <c r="N36" s="164">
        <f t="shared" si="1"/>
        <v>528482.29</v>
      </c>
      <c r="O36" s="19">
        <f t="shared" si="2"/>
        <v>149426.48999999987</v>
      </c>
      <c r="P36" s="165">
        <f t="shared" si="3"/>
        <v>0.39420710618331078</v>
      </c>
      <c r="Q36" s="166">
        <f t="shared" si="4"/>
        <v>1.7844930305165468E-2</v>
      </c>
      <c r="R36" s="19">
        <f t="shared" si="5"/>
        <v>107558.43911813505</v>
      </c>
      <c r="S36" s="19">
        <v>6783856</v>
      </c>
      <c r="T36" s="19">
        <v>538604.93000000098</v>
      </c>
      <c r="U36" s="19">
        <v>1051149.2463729638</v>
      </c>
      <c r="V36" s="19">
        <f t="shared" si="6"/>
        <v>8373610.1763729639</v>
      </c>
      <c r="W36" s="102">
        <f t="shared" ref="W36:W67" si="7">ROUND(R36/R$83*W$86,0)</f>
        <v>48516</v>
      </c>
    </row>
    <row r="37" spans="1:23" x14ac:dyDescent="0.25">
      <c r="A37" s="6" t="s">
        <v>47</v>
      </c>
      <c r="B37" s="5" t="s">
        <v>349</v>
      </c>
      <c r="C37" s="19">
        <v>9881.0499999999975</v>
      </c>
      <c r="D37" s="19">
        <v>12399.250000000009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64">
        <f t="shared" si="1"/>
        <v>9881.0499999999975</v>
      </c>
      <c r="N37" s="164">
        <f t="shared" si="1"/>
        <v>12399.250000000009</v>
      </c>
      <c r="O37" s="19">
        <f t="shared" si="2"/>
        <v>2518.2000000000116</v>
      </c>
      <c r="P37" s="165">
        <f t="shared" si="3"/>
        <v>0.25485145809402976</v>
      </c>
      <c r="Q37" s="166">
        <f t="shared" si="4"/>
        <v>3.8984691379553259E-3</v>
      </c>
      <c r="R37" s="19">
        <f t="shared" si="5"/>
        <v>0</v>
      </c>
      <c r="S37" s="19">
        <v>588104</v>
      </c>
      <c r="T37" s="19">
        <v>57841.86</v>
      </c>
      <c r="U37" s="19">
        <v>0</v>
      </c>
      <c r="V37" s="19">
        <f t="shared" si="6"/>
        <v>645945.86</v>
      </c>
      <c r="W37" s="102">
        <f t="shared" si="7"/>
        <v>0</v>
      </c>
    </row>
    <row r="38" spans="1:23" x14ac:dyDescent="0.25">
      <c r="A38" s="6" t="s">
        <v>38</v>
      </c>
      <c r="B38" s="5" t="s">
        <v>344</v>
      </c>
      <c r="C38" s="19">
        <v>230788.49</v>
      </c>
      <c r="D38" s="19">
        <v>253784.87999999998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64">
        <f t="shared" si="1"/>
        <v>230788.49</v>
      </c>
      <c r="N38" s="164">
        <f t="shared" si="1"/>
        <v>253784.87999999998</v>
      </c>
      <c r="O38" s="19">
        <f t="shared" si="2"/>
        <v>22996.389999999985</v>
      </c>
      <c r="P38" s="165">
        <f t="shared" si="3"/>
        <v>9.964270748510895E-2</v>
      </c>
      <c r="Q38" s="166">
        <f t="shared" si="4"/>
        <v>4.3858230475479973E-3</v>
      </c>
      <c r="R38" s="19">
        <f t="shared" si="5"/>
        <v>0</v>
      </c>
      <c r="S38" s="19">
        <v>4794793</v>
      </c>
      <c r="T38" s="19">
        <v>334901.46000000299</v>
      </c>
      <c r="U38" s="19">
        <v>113652.05687707102</v>
      </c>
      <c r="V38" s="19">
        <f t="shared" si="6"/>
        <v>5243346.5168770738</v>
      </c>
      <c r="W38" s="102">
        <f t="shared" si="7"/>
        <v>0</v>
      </c>
    </row>
    <row r="39" spans="1:23" x14ac:dyDescent="0.25">
      <c r="A39" s="6" t="s">
        <v>38</v>
      </c>
      <c r="B39" s="5" t="s">
        <v>342</v>
      </c>
      <c r="C39" s="19">
        <v>237654.33000000019</v>
      </c>
      <c r="D39" s="19">
        <v>303063.71999999997</v>
      </c>
      <c r="E39" s="19">
        <v>85112.060000000012</v>
      </c>
      <c r="F39" s="19">
        <v>95742.909999999989</v>
      </c>
      <c r="G39" s="19">
        <v>4968.9099999999989</v>
      </c>
      <c r="H39" s="19">
        <v>6419.7</v>
      </c>
      <c r="I39" s="19">
        <v>0</v>
      </c>
      <c r="J39" s="19">
        <v>0</v>
      </c>
      <c r="K39" s="19">
        <v>0</v>
      </c>
      <c r="L39" s="19">
        <v>0</v>
      </c>
      <c r="M39" s="164">
        <f t="shared" si="1"/>
        <v>317797.48000000021</v>
      </c>
      <c r="N39" s="164">
        <f t="shared" si="1"/>
        <v>392386.92999999993</v>
      </c>
      <c r="O39" s="19">
        <f t="shared" si="2"/>
        <v>74589.449999999721</v>
      </c>
      <c r="P39" s="165">
        <f t="shared" si="3"/>
        <v>0.23470749358994181</v>
      </c>
      <c r="Q39" s="166">
        <f t="shared" si="4"/>
        <v>1.305596814671753E-2</v>
      </c>
      <c r="R39" s="19">
        <f t="shared" si="5"/>
        <v>46024.180399999721</v>
      </c>
      <c r="S39" s="19">
        <v>4967036</v>
      </c>
      <c r="T39" s="19">
        <v>175616.91999999969</v>
      </c>
      <c r="U39" s="19">
        <v>570401</v>
      </c>
      <c r="V39" s="19">
        <f t="shared" si="6"/>
        <v>5713053.9199999999</v>
      </c>
      <c r="W39" s="102">
        <f t="shared" si="7"/>
        <v>20760</v>
      </c>
    </row>
    <row r="40" spans="1:23" x14ac:dyDescent="0.25">
      <c r="A40" s="6" t="s">
        <v>38</v>
      </c>
      <c r="B40" s="5" t="s">
        <v>336</v>
      </c>
      <c r="C40" s="19">
        <v>265421.66999999975</v>
      </c>
      <c r="D40" s="19">
        <v>418964.68999999977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64">
        <f t="shared" si="1"/>
        <v>265421.66999999975</v>
      </c>
      <c r="N40" s="164">
        <f t="shared" si="1"/>
        <v>418964.68999999977</v>
      </c>
      <c r="O40" s="19">
        <f t="shared" si="2"/>
        <v>153543.02000000002</v>
      </c>
      <c r="P40" s="165">
        <f t="shared" si="3"/>
        <v>0.57848712955502157</v>
      </c>
      <c r="Q40" s="166">
        <f t="shared" si="4"/>
        <v>2.3814622928191049E-2</v>
      </c>
      <c r="R40" s="19">
        <f t="shared" si="5"/>
        <v>121305.88980000002</v>
      </c>
      <c r="S40" s="19">
        <v>5440857</v>
      </c>
      <c r="T40" s="19">
        <v>161364.03999999972</v>
      </c>
      <c r="U40" s="19">
        <v>845205</v>
      </c>
      <c r="V40" s="19">
        <f t="shared" si="6"/>
        <v>6447426.04</v>
      </c>
      <c r="W40" s="102">
        <f t="shared" si="7"/>
        <v>54717</v>
      </c>
    </row>
    <row r="41" spans="1:23" x14ac:dyDescent="0.25">
      <c r="A41" s="6" t="s">
        <v>38</v>
      </c>
      <c r="B41" s="5" t="s">
        <v>37</v>
      </c>
      <c r="C41" s="19">
        <v>601954.30000000016</v>
      </c>
      <c r="D41" s="19">
        <v>897209.50000000047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64">
        <f t="shared" si="1"/>
        <v>601954.30000000016</v>
      </c>
      <c r="N41" s="164">
        <f t="shared" si="1"/>
        <v>897209.50000000047</v>
      </c>
      <c r="O41" s="19">
        <f t="shared" si="2"/>
        <v>295255.2000000003</v>
      </c>
      <c r="P41" s="165">
        <f t="shared" si="3"/>
        <v>0.49049437806159069</v>
      </c>
      <c r="Q41" s="166">
        <f t="shared" si="4"/>
        <v>1.7978183855381552E-2</v>
      </c>
      <c r="R41" s="19">
        <f t="shared" si="5"/>
        <v>213140.3428000003</v>
      </c>
      <c r="S41" s="19">
        <v>14824705</v>
      </c>
      <c r="T41" s="19">
        <v>176643.44</v>
      </c>
      <c r="U41" s="19">
        <v>1421623</v>
      </c>
      <c r="V41" s="19">
        <f t="shared" si="6"/>
        <v>16422971.439999999</v>
      </c>
      <c r="W41" s="102">
        <f t="shared" si="7"/>
        <v>96140</v>
      </c>
    </row>
    <row r="42" spans="1:23" x14ac:dyDescent="0.25">
      <c r="A42" s="6" t="s">
        <v>38</v>
      </c>
      <c r="B42" s="5" t="s">
        <v>328</v>
      </c>
      <c r="C42" s="19">
        <v>612046.63000000012</v>
      </c>
      <c r="D42" s="19">
        <v>818665.85000000068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64">
        <f t="shared" si="1"/>
        <v>612046.63000000012</v>
      </c>
      <c r="N42" s="164">
        <f t="shared" si="1"/>
        <v>818665.85000000068</v>
      </c>
      <c r="O42" s="19">
        <f t="shared" si="2"/>
        <v>206619.22000000055</v>
      </c>
      <c r="P42" s="165">
        <f t="shared" si="3"/>
        <v>0.33758738284369039</v>
      </c>
      <c r="Q42" s="166">
        <f t="shared" si="4"/>
        <v>1.8297261746704672E-2</v>
      </c>
      <c r="R42" s="19">
        <f t="shared" si="5"/>
        <v>150157.43275000056</v>
      </c>
      <c r="S42" s="19">
        <v>9065728</v>
      </c>
      <c r="T42" s="19">
        <v>293449.450000001</v>
      </c>
      <c r="U42" s="19">
        <v>1933180</v>
      </c>
      <c r="V42" s="19">
        <f t="shared" si="6"/>
        <v>11292357.450000001</v>
      </c>
      <c r="W42" s="102">
        <f t="shared" si="7"/>
        <v>67731</v>
      </c>
    </row>
    <row r="43" spans="1:23" x14ac:dyDescent="0.25">
      <c r="A43" s="6" t="s">
        <v>38</v>
      </c>
      <c r="B43" s="5" t="s">
        <v>324</v>
      </c>
      <c r="C43" s="19">
        <v>399485.67999999988</v>
      </c>
      <c r="D43" s="19">
        <v>471198.71999999991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64">
        <f t="shared" si="1"/>
        <v>399485.67999999988</v>
      </c>
      <c r="N43" s="164">
        <f t="shared" si="1"/>
        <v>471198.71999999991</v>
      </c>
      <c r="O43" s="19">
        <f t="shared" si="2"/>
        <v>71713.040000000037</v>
      </c>
      <c r="P43" s="165">
        <f t="shared" si="3"/>
        <v>0.17951341835331891</v>
      </c>
      <c r="Q43" s="166">
        <f t="shared" si="4"/>
        <v>9.0538165979420354E-3</v>
      </c>
      <c r="R43" s="19">
        <f t="shared" si="5"/>
        <v>32109.277750000037</v>
      </c>
      <c r="S43" s="19">
        <v>5895831</v>
      </c>
      <c r="T43" s="19">
        <v>499386.44999999896</v>
      </c>
      <c r="U43" s="19">
        <v>1525535</v>
      </c>
      <c r="V43" s="19">
        <f t="shared" si="6"/>
        <v>7920752.4499999993</v>
      </c>
      <c r="W43" s="102">
        <f t="shared" si="7"/>
        <v>14483</v>
      </c>
    </row>
    <row r="44" spans="1:23" x14ac:dyDescent="0.25">
      <c r="A44" s="6" t="s">
        <v>38</v>
      </c>
      <c r="B44" s="5" t="s">
        <v>322</v>
      </c>
      <c r="C44" s="19">
        <v>367324.23</v>
      </c>
      <c r="D44" s="19">
        <v>544178.81000000006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64">
        <f t="shared" si="1"/>
        <v>367324.23</v>
      </c>
      <c r="N44" s="164">
        <f t="shared" si="1"/>
        <v>544178.81000000006</v>
      </c>
      <c r="O44" s="19">
        <f t="shared" si="2"/>
        <v>176854.58000000007</v>
      </c>
      <c r="P44" s="165">
        <f t="shared" si="3"/>
        <v>0.48146723127957025</v>
      </c>
      <c r="Q44" s="166">
        <f t="shared" si="4"/>
        <v>3.0840237630075221E-2</v>
      </c>
      <c r="R44" s="19">
        <f t="shared" si="5"/>
        <v>148181.87940000006</v>
      </c>
      <c r="S44" s="19">
        <v>4752197</v>
      </c>
      <c r="T44" s="19">
        <v>208844.12</v>
      </c>
      <c r="U44" s="19">
        <v>773499</v>
      </c>
      <c r="V44" s="19">
        <f t="shared" si="6"/>
        <v>5734540.1200000001</v>
      </c>
      <c r="W44" s="102">
        <f t="shared" si="7"/>
        <v>66840</v>
      </c>
    </row>
    <row r="45" spans="1:23" x14ac:dyDescent="0.25">
      <c r="A45" s="6" t="s">
        <v>38</v>
      </c>
      <c r="B45" s="5" t="s">
        <v>320</v>
      </c>
      <c r="C45" s="19">
        <v>411265.20999999967</v>
      </c>
      <c r="D45" s="19">
        <v>560951.66999999993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64">
        <f t="shared" si="1"/>
        <v>411265.20999999967</v>
      </c>
      <c r="N45" s="164">
        <f t="shared" si="1"/>
        <v>560951.66999999993</v>
      </c>
      <c r="O45" s="19">
        <f t="shared" si="2"/>
        <v>149686.46000000025</v>
      </c>
      <c r="P45" s="165">
        <f t="shared" si="3"/>
        <v>0.36396577284035381</v>
      </c>
      <c r="Q45" s="166">
        <f t="shared" si="4"/>
        <v>2.2900634542954861E-2</v>
      </c>
      <c r="R45" s="19">
        <f t="shared" si="5"/>
        <v>117004.73240000026</v>
      </c>
      <c r="S45" s="19">
        <v>4919871</v>
      </c>
      <c r="T45" s="19">
        <v>386037.52</v>
      </c>
      <c r="U45" s="19">
        <v>1230437</v>
      </c>
      <c r="V45" s="19">
        <f t="shared" si="6"/>
        <v>6536345.5199999996</v>
      </c>
      <c r="W45" s="102">
        <f t="shared" si="7"/>
        <v>52777</v>
      </c>
    </row>
    <row r="46" spans="1:23" x14ac:dyDescent="0.25">
      <c r="A46" s="6" t="s">
        <v>35</v>
      </c>
      <c r="B46" s="5" t="s">
        <v>316</v>
      </c>
      <c r="C46" s="19">
        <v>204873.43000000023</v>
      </c>
      <c r="D46" s="19">
        <v>266668.34999999992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64">
        <f t="shared" si="1"/>
        <v>204873.43000000023</v>
      </c>
      <c r="N46" s="164">
        <f t="shared" si="1"/>
        <v>266668.34999999992</v>
      </c>
      <c r="O46" s="19">
        <f t="shared" si="2"/>
        <v>61794.919999999693</v>
      </c>
      <c r="P46" s="165">
        <f t="shared" si="3"/>
        <v>0.30162486175000636</v>
      </c>
      <c r="Q46" s="166">
        <f t="shared" si="4"/>
        <v>1.0762737103213698E-2</v>
      </c>
      <c r="R46" s="19">
        <f t="shared" si="5"/>
        <v>33087.111099999689</v>
      </c>
      <c r="S46" s="19">
        <v>4764126</v>
      </c>
      <c r="T46" s="19">
        <v>265469.78000000102</v>
      </c>
      <c r="U46" s="19">
        <v>711966</v>
      </c>
      <c r="V46" s="19">
        <f t="shared" si="6"/>
        <v>5741561.7800000012</v>
      </c>
      <c r="W46" s="102">
        <f t="shared" si="7"/>
        <v>14924</v>
      </c>
    </row>
    <row r="47" spans="1:23" x14ac:dyDescent="0.25">
      <c r="A47" s="6" t="s">
        <v>35</v>
      </c>
      <c r="B47" s="5" t="s">
        <v>304</v>
      </c>
      <c r="C47" s="19">
        <v>657564.74000000057</v>
      </c>
      <c r="D47" s="19">
        <v>964729.58000000136</v>
      </c>
      <c r="E47" s="19">
        <v>39988.989999999983</v>
      </c>
      <c r="F47" s="19">
        <v>55757.11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64">
        <f t="shared" si="1"/>
        <v>697553.73000000056</v>
      </c>
      <c r="N47" s="164">
        <f t="shared" si="1"/>
        <v>1020486.6900000013</v>
      </c>
      <c r="O47" s="19">
        <f t="shared" si="2"/>
        <v>322932.96000000078</v>
      </c>
      <c r="P47" s="165">
        <f t="shared" si="3"/>
        <v>0.46295066044589928</v>
      </c>
      <c r="Q47" s="166">
        <f t="shared" si="4"/>
        <v>2.2300776645309949E-2</v>
      </c>
      <c r="R47" s="19">
        <f t="shared" si="5"/>
        <v>250528.98835000076</v>
      </c>
      <c r="S47" s="19">
        <v>12015627</v>
      </c>
      <c r="T47" s="19">
        <v>399889.33000000101</v>
      </c>
      <c r="U47" s="19">
        <v>2065278</v>
      </c>
      <c r="V47" s="19">
        <f t="shared" si="6"/>
        <v>14480794.330000002</v>
      </c>
      <c r="W47" s="102">
        <f t="shared" si="7"/>
        <v>113005</v>
      </c>
    </row>
    <row r="48" spans="1:23" x14ac:dyDescent="0.25">
      <c r="A48" s="6" t="s">
        <v>35</v>
      </c>
      <c r="B48" s="5" t="s">
        <v>302</v>
      </c>
      <c r="C48" s="19">
        <v>278430.85999999969</v>
      </c>
      <c r="D48" s="19">
        <v>373827.32999999967</v>
      </c>
      <c r="E48" s="19">
        <v>18363.82</v>
      </c>
      <c r="F48" s="19">
        <v>24789.51</v>
      </c>
      <c r="G48" s="19">
        <v>-3929.26</v>
      </c>
      <c r="H48" s="19">
        <v>-5270.98</v>
      </c>
      <c r="I48" s="19">
        <v>3727.05</v>
      </c>
      <c r="J48" s="19">
        <v>5270.98</v>
      </c>
      <c r="K48" s="19">
        <v>0</v>
      </c>
      <c r="L48" s="19">
        <v>0</v>
      </c>
      <c r="M48" s="164">
        <f t="shared" si="1"/>
        <v>296996.88999999972</v>
      </c>
      <c r="N48" s="164">
        <f t="shared" si="1"/>
        <v>398616.83999999968</v>
      </c>
      <c r="O48" s="19">
        <f t="shared" si="2"/>
        <v>101619.94999999995</v>
      </c>
      <c r="P48" s="165">
        <f t="shared" si="3"/>
        <v>0.34215829667441988</v>
      </c>
      <c r="Q48" s="166">
        <f t="shared" si="4"/>
        <v>1.5755654618799898E-2</v>
      </c>
      <c r="R48" s="19">
        <f t="shared" si="5"/>
        <v>69371.226459581201</v>
      </c>
      <c r="S48" s="19">
        <v>5272172</v>
      </c>
      <c r="T48" s="19">
        <v>184376.78999999989</v>
      </c>
      <c r="U48" s="19">
        <v>993195.91808375157</v>
      </c>
      <c r="V48" s="19">
        <f t="shared" si="6"/>
        <v>6449744.7080837516</v>
      </c>
      <c r="W48" s="102">
        <f t="shared" si="7"/>
        <v>31291</v>
      </c>
    </row>
    <row r="49" spans="1:23" x14ac:dyDescent="0.25">
      <c r="A49" s="6" t="s">
        <v>28</v>
      </c>
      <c r="B49" s="5" t="s">
        <v>283</v>
      </c>
      <c r="C49" s="19">
        <v>251941.92</v>
      </c>
      <c r="D49" s="19">
        <v>353852.18999999989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64">
        <f t="shared" si="1"/>
        <v>251941.92</v>
      </c>
      <c r="N49" s="164">
        <f t="shared" si="1"/>
        <v>353852.18999999989</v>
      </c>
      <c r="O49" s="19">
        <f t="shared" si="2"/>
        <v>101910.26999999987</v>
      </c>
      <c r="P49" s="165">
        <f t="shared" si="3"/>
        <v>0.40449906073590247</v>
      </c>
      <c r="Q49" s="166">
        <f t="shared" si="4"/>
        <v>1.7327847967731642E-2</v>
      </c>
      <c r="R49" s="19">
        <f t="shared" si="5"/>
        <v>72503.770649999875</v>
      </c>
      <c r="S49" s="19">
        <v>4510412</v>
      </c>
      <c r="T49" s="19">
        <v>222623.87</v>
      </c>
      <c r="U49" s="19">
        <v>1148264</v>
      </c>
      <c r="V49" s="19">
        <f t="shared" si="6"/>
        <v>5881299.8700000001</v>
      </c>
      <c r="W49" s="102">
        <f t="shared" si="7"/>
        <v>32704</v>
      </c>
    </row>
    <row r="50" spans="1:23" x14ac:dyDescent="0.25">
      <c r="A50" s="6" t="s">
        <v>28</v>
      </c>
      <c r="B50" s="5" t="s">
        <v>281</v>
      </c>
      <c r="C50" s="19">
        <v>37002.759999999987</v>
      </c>
      <c r="D50" s="19">
        <v>57263.869999999995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64">
        <f t="shared" si="1"/>
        <v>37002.759999999987</v>
      </c>
      <c r="N50" s="164">
        <f t="shared" si="1"/>
        <v>57263.869999999995</v>
      </c>
      <c r="O50" s="19">
        <f t="shared" si="2"/>
        <v>20261.110000000008</v>
      </c>
      <c r="P50" s="165">
        <f t="shared" si="3"/>
        <v>0.54755672279581358</v>
      </c>
      <c r="Q50" s="166">
        <f t="shared" si="4"/>
        <v>2.828384970796851E-2</v>
      </c>
      <c r="R50" s="19">
        <f t="shared" si="5"/>
        <v>16679.364550000009</v>
      </c>
      <c r="S50" s="19">
        <v>682204</v>
      </c>
      <c r="T50" s="19">
        <v>3502.09</v>
      </c>
      <c r="U50" s="19">
        <v>30643</v>
      </c>
      <c r="V50" s="19">
        <f t="shared" si="6"/>
        <v>716349.09</v>
      </c>
      <c r="W50" s="102">
        <f t="shared" si="7"/>
        <v>7523</v>
      </c>
    </row>
    <row r="51" spans="1:23" x14ac:dyDescent="0.25">
      <c r="A51" s="6" t="s">
        <v>28</v>
      </c>
      <c r="B51" s="5" t="s">
        <v>595</v>
      </c>
      <c r="C51" s="19">
        <v>233832.65</v>
      </c>
      <c r="D51" s="19">
        <v>312848.08000000031</v>
      </c>
      <c r="E51" s="19">
        <v>8271.9700000000012</v>
      </c>
      <c r="F51" s="19">
        <v>9836.1500000000015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64">
        <f t="shared" si="1"/>
        <v>242104.62</v>
      </c>
      <c r="N51" s="164">
        <f t="shared" si="1"/>
        <v>322684.23000000033</v>
      </c>
      <c r="O51" s="19">
        <f t="shared" si="2"/>
        <v>80579.610000000335</v>
      </c>
      <c r="P51" s="165">
        <f t="shared" si="3"/>
        <v>0.33282970808239987</v>
      </c>
      <c r="Q51" s="166">
        <f t="shared" si="4"/>
        <v>1.461435299784276E-2</v>
      </c>
      <c r="R51" s="19">
        <f t="shared" si="5"/>
        <v>53010.955400000326</v>
      </c>
      <c r="S51" s="19">
        <v>4314750</v>
      </c>
      <c r="T51" s="19">
        <v>409286.92000000097</v>
      </c>
      <c r="U51" s="19">
        <v>789694</v>
      </c>
      <c r="V51" s="19">
        <f t="shared" si="6"/>
        <v>5513730.9200000009</v>
      </c>
      <c r="W51" s="102">
        <f t="shared" si="7"/>
        <v>23911</v>
      </c>
    </row>
    <row r="52" spans="1:23" x14ac:dyDescent="0.25">
      <c r="A52" s="6" t="s">
        <v>28</v>
      </c>
      <c r="B52" s="5" t="s">
        <v>596</v>
      </c>
      <c r="C52" s="19">
        <v>560573.53999999992</v>
      </c>
      <c r="D52" s="19">
        <v>810729.75999999978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64">
        <f t="shared" si="1"/>
        <v>560573.53999999992</v>
      </c>
      <c r="N52" s="164">
        <f t="shared" si="1"/>
        <v>810729.75999999978</v>
      </c>
      <c r="O52" s="19">
        <f t="shared" si="2"/>
        <v>250156.21999999986</v>
      </c>
      <c r="P52" s="165">
        <f t="shared" si="3"/>
        <v>0.4462504955192852</v>
      </c>
      <c r="Q52" s="166">
        <f t="shared" si="4"/>
        <v>2.8616291420800206E-2</v>
      </c>
      <c r="R52" s="19">
        <f t="shared" si="5"/>
        <v>206447.51289999986</v>
      </c>
      <c r="S52" s="19">
        <v>7052987</v>
      </c>
      <c r="T52" s="19">
        <v>305717.42000000097</v>
      </c>
      <c r="U52" s="19">
        <v>1383037</v>
      </c>
      <c r="V52" s="19">
        <f t="shared" si="6"/>
        <v>8741741.4200000018</v>
      </c>
      <c r="W52" s="102">
        <f t="shared" si="7"/>
        <v>93121</v>
      </c>
    </row>
    <row r="53" spans="1:23" x14ac:dyDescent="0.25">
      <c r="A53" s="6" t="s">
        <v>28</v>
      </c>
      <c r="B53" s="5" t="s">
        <v>30</v>
      </c>
      <c r="C53" s="19">
        <v>2220856.1199999992</v>
      </c>
      <c r="D53" s="19">
        <v>3238042.1799999983</v>
      </c>
      <c r="E53" s="19">
        <v>17576.560000000001</v>
      </c>
      <c r="F53" s="19">
        <v>23721.760000000009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64">
        <f t="shared" si="1"/>
        <v>2238432.6799999992</v>
      </c>
      <c r="N53" s="164">
        <f t="shared" si="1"/>
        <v>3261763.9399999985</v>
      </c>
      <c r="O53" s="19">
        <f t="shared" si="2"/>
        <v>1023331.2599999993</v>
      </c>
      <c r="P53" s="165">
        <f t="shared" si="3"/>
        <v>0.45716418865006903</v>
      </c>
      <c r="Q53" s="166">
        <f t="shared" si="4"/>
        <v>1.8135230013337889E-2</v>
      </c>
      <c r="R53" s="19">
        <f t="shared" si="5"/>
        <v>741192.22474999935</v>
      </c>
      <c r="S53" s="19">
        <v>48675684</v>
      </c>
      <c r="T53" s="19">
        <v>1659669.0500000063</v>
      </c>
      <c r="U53" s="19">
        <v>6092454</v>
      </c>
      <c r="V53" s="19">
        <f t="shared" si="6"/>
        <v>56427807.050000004</v>
      </c>
      <c r="W53" s="102">
        <f t="shared" si="7"/>
        <v>334325</v>
      </c>
    </row>
    <row r="54" spans="1:23" x14ac:dyDescent="0.25">
      <c r="A54" s="6" t="s">
        <v>28</v>
      </c>
      <c r="B54" s="5" t="s">
        <v>275</v>
      </c>
      <c r="C54" s="19">
        <v>261445.8300000001</v>
      </c>
      <c r="D54" s="19">
        <v>342964.3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64">
        <f t="shared" si="1"/>
        <v>261445.8300000001</v>
      </c>
      <c r="N54" s="164">
        <f t="shared" si="1"/>
        <v>342964.3</v>
      </c>
      <c r="O54" s="19">
        <f t="shared" si="2"/>
        <v>81518.469999999885</v>
      </c>
      <c r="P54" s="165">
        <f t="shared" si="3"/>
        <v>0.31179870032732926</v>
      </c>
      <c r="Q54" s="166">
        <f t="shared" si="4"/>
        <v>1.7176281204852324E-2</v>
      </c>
      <c r="R54" s="19">
        <f t="shared" si="5"/>
        <v>57788.516749999879</v>
      </c>
      <c r="S54" s="19">
        <v>3821475</v>
      </c>
      <c r="T54" s="19">
        <v>406652.65000000101</v>
      </c>
      <c r="U54" s="19">
        <v>517863</v>
      </c>
      <c r="V54" s="19">
        <f t="shared" si="6"/>
        <v>4745990.6500000013</v>
      </c>
      <c r="W54" s="102">
        <f t="shared" si="7"/>
        <v>26066</v>
      </c>
    </row>
    <row r="55" spans="1:23" x14ac:dyDescent="0.25">
      <c r="A55" s="6" t="s">
        <v>28</v>
      </c>
      <c r="B55" s="5" t="s">
        <v>265</v>
      </c>
      <c r="C55" s="19">
        <v>425613.75</v>
      </c>
      <c r="D55" s="19">
        <v>618723.89999999991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64">
        <f t="shared" si="1"/>
        <v>425613.75</v>
      </c>
      <c r="N55" s="164">
        <f t="shared" si="1"/>
        <v>618723.89999999991</v>
      </c>
      <c r="O55" s="19">
        <f t="shared" si="2"/>
        <v>193110.14999999991</v>
      </c>
      <c r="P55" s="165">
        <f t="shared" si="3"/>
        <v>0.4537215961655372</v>
      </c>
      <c r="Q55" s="166">
        <f t="shared" si="4"/>
        <v>1.2979593690343651E-2</v>
      </c>
      <c r="R55" s="19">
        <f t="shared" si="5"/>
        <v>118720.24434999991</v>
      </c>
      <c r="S55" s="19">
        <v>11662543</v>
      </c>
      <c r="T55" s="19">
        <v>258593.1300000007</v>
      </c>
      <c r="U55" s="19">
        <v>2956845</v>
      </c>
      <c r="V55" s="19">
        <f t="shared" si="6"/>
        <v>14877981.130000001</v>
      </c>
      <c r="W55" s="102">
        <f t="shared" si="7"/>
        <v>53550</v>
      </c>
    </row>
    <row r="56" spans="1:23" x14ac:dyDescent="0.25">
      <c r="A56" s="6" t="s">
        <v>24</v>
      </c>
      <c r="B56" s="5" t="s">
        <v>249</v>
      </c>
      <c r="C56" s="19">
        <v>224928.93000000008</v>
      </c>
      <c r="D56" s="19">
        <v>293095.75999999995</v>
      </c>
      <c r="E56" s="19">
        <v>58284.509999999995</v>
      </c>
      <c r="F56" s="19">
        <v>63029.55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64">
        <f t="shared" si="1"/>
        <v>283213.44000000006</v>
      </c>
      <c r="N56" s="164">
        <f t="shared" si="1"/>
        <v>356125.30999999994</v>
      </c>
      <c r="O56" s="19">
        <f t="shared" si="2"/>
        <v>72911.869999999879</v>
      </c>
      <c r="P56" s="165">
        <f t="shared" si="3"/>
        <v>0.25744495035263815</v>
      </c>
      <c r="Q56" s="166">
        <f t="shared" si="4"/>
        <v>1.1234348110496038E-2</v>
      </c>
      <c r="R56" s="19">
        <f t="shared" si="5"/>
        <v>40461.446849999877</v>
      </c>
      <c r="S56" s="19">
        <v>5437457</v>
      </c>
      <c r="T56" s="19">
        <v>225004.62999999989</v>
      </c>
      <c r="U56" s="19">
        <v>827623</v>
      </c>
      <c r="V56" s="19">
        <f t="shared" si="6"/>
        <v>6490084.6299999999</v>
      </c>
      <c r="W56" s="102">
        <f t="shared" si="7"/>
        <v>18251</v>
      </c>
    </row>
    <row r="57" spans="1:23" x14ac:dyDescent="0.25">
      <c r="A57" s="6" t="s">
        <v>24</v>
      </c>
      <c r="B57" s="5" t="s">
        <v>247</v>
      </c>
      <c r="C57" s="19">
        <v>242368.09000000011</v>
      </c>
      <c r="D57" s="19">
        <v>347703.83000000019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64">
        <f t="shared" si="1"/>
        <v>242368.09000000011</v>
      </c>
      <c r="N57" s="164">
        <f t="shared" si="1"/>
        <v>347703.83000000019</v>
      </c>
      <c r="O57" s="19">
        <f t="shared" si="2"/>
        <v>105335.74000000008</v>
      </c>
      <c r="P57" s="165">
        <f t="shared" si="3"/>
        <v>0.43461059580904404</v>
      </c>
      <c r="Q57" s="166">
        <f t="shared" si="4"/>
        <v>1.0646017406180361E-2</v>
      </c>
      <c r="R57" s="19">
        <f t="shared" si="5"/>
        <v>55863.840800000071</v>
      </c>
      <c r="S57" s="19">
        <v>8992747</v>
      </c>
      <c r="T57" s="19">
        <v>274702.840000002</v>
      </c>
      <c r="U57" s="19">
        <v>626930</v>
      </c>
      <c r="V57" s="19">
        <f t="shared" si="6"/>
        <v>9894379.8400000017</v>
      </c>
      <c r="W57" s="102">
        <f t="shared" si="7"/>
        <v>25198</v>
      </c>
    </row>
    <row r="58" spans="1:23" x14ac:dyDescent="0.25">
      <c r="A58" s="6" t="s">
        <v>24</v>
      </c>
      <c r="B58" s="5" t="s">
        <v>243</v>
      </c>
      <c r="C58" s="19">
        <v>384341.38000000006</v>
      </c>
      <c r="D58" s="19">
        <v>579708.50000000023</v>
      </c>
      <c r="E58" s="19">
        <v>42861.26</v>
      </c>
      <c r="F58" s="19">
        <v>68327.12</v>
      </c>
      <c r="G58" s="19">
        <v>-19662.510000000002</v>
      </c>
      <c r="H58" s="19">
        <v>1300.74</v>
      </c>
      <c r="I58" s="19">
        <v>19532.91</v>
      </c>
      <c r="J58" s="19">
        <v>13767.09</v>
      </c>
      <c r="K58" s="19">
        <v>0</v>
      </c>
      <c r="L58" s="19">
        <v>0</v>
      </c>
      <c r="M58" s="164">
        <f t="shared" si="1"/>
        <v>427332.24000000011</v>
      </c>
      <c r="N58" s="164">
        <f t="shared" si="1"/>
        <v>632967.79000000027</v>
      </c>
      <c r="O58" s="19">
        <f t="shared" si="2"/>
        <v>205635.55000000016</v>
      </c>
      <c r="P58" s="165">
        <f t="shared" si="3"/>
        <v>0.48120766642835111</v>
      </c>
      <c r="Q58" s="166">
        <f t="shared" si="4"/>
        <v>2.5158399433307648E-2</v>
      </c>
      <c r="R58" s="19">
        <f t="shared" si="5"/>
        <v>164767.37980000014</v>
      </c>
      <c r="S58" s="19">
        <v>6916425</v>
      </c>
      <c r="T58" s="19">
        <v>511890.04000000301</v>
      </c>
      <c r="U58" s="19">
        <v>745319</v>
      </c>
      <c r="V58" s="19">
        <f t="shared" si="6"/>
        <v>8173634.0400000028</v>
      </c>
      <c r="W58" s="102">
        <f t="shared" si="7"/>
        <v>74321</v>
      </c>
    </row>
    <row r="59" spans="1:23" x14ac:dyDescent="0.25">
      <c r="A59" s="6" t="s">
        <v>24</v>
      </c>
      <c r="B59" s="5" t="s">
        <v>239</v>
      </c>
      <c r="C59" s="19">
        <v>666155.14999999921</v>
      </c>
      <c r="D59" s="19">
        <v>906221.49999999977</v>
      </c>
      <c r="E59" s="19">
        <v>49982.510000000009</v>
      </c>
      <c r="F59" s="19">
        <v>69714.710000000006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64">
        <f t="shared" si="1"/>
        <v>716137.65999999922</v>
      </c>
      <c r="N59" s="164">
        <f t="shared" si="1"/>
        <v>975936.20999999973</v>
      </c>
      <c r="O59" s="19">
        <f t="shared" si="2"/>
        <v>259798.55000000051</v>
      </c>
      <c r="P59" s="165">
        <f t="shared" si="3"/>
        <v>0.36277738835854656</v>
      </c>
      <c r="Q59" s="166">
        <f t="shared" si="4"/>
        <v>1.6929960469868784E-2</v>
      </c>
      <c r="R59" s="19">
        <f t="shared" si="5"/>
        <v>183071.0967781283</v>
      </c>
      <c r="S59" s="19">
        <v>13920661</v>
      </c>
      <c r="T59" s="19">
        <v>482411.01000000397</v>
      </c>
      <c r="U59" s="19">
        <v>942418.63437443553</v>
      </c>
      <c r="V59" s="19">
        <f t="shared" si="6"/>
        <v>15345490.644374439</v>
      </c>
      <c r="W59" s="102">
        <f t="shared" si="7"/>
        <v>82577</v>
      </c>
    </row>
    <row r="60" spans="1:23" x14ac:dyDescent="0.25">
      <c r="A60" s="6" t="s">
        <v>20</v>
      </c>
      <c r="B60" s="5" t="s">
        <v>225</v>
      </c>
      <c r="C60" s="19">
        <v>24295.49</v>
      </c>
      <c r="D60" s="19">
        <v>36868.179999999986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64">
        <f t="shared" si="1"/>
        <v>24295.49</v>
      </c>
      <c r="N60" s="164">
        <f t="shared" si="1"/>
        <v>36868.179999999986</v>
      </c>
      <c r="O60" s="19">
        <f t="shared" si="2"/>
        <v>12572.689999999984</v>
      </c>
      <c r="P60" s="165">
        <f t="shared" si="3"/>
        <v>0.51749069477503773</v>
      </c>
      <c r="Q60" s="166">
        <f t="shared" si="4"/>
        <v>5.2295162673016062E-3</v>
      </c>
      <c r="R60" s="19">
        <f t="shared" si="5"/>
        <v>551.79804999998487</v>
      </c>
      <c r="S60" s="19">
        <v>2319070</v>
      </c>
      <c r="T60" s="19">
        <v>85108.38999999981</v>
      </c>
      <c r="U60" s="19">
        <v>0</v>
      </c>
      <c r="V60" s="19">
        <f t="shared" si="6"/>
        <v>2404178.3899999997</v>
      </c>
      <c r="W60" s="102">
        <f t="shared" si="7"/>
        <v>249</v>
      </c>
    </row>
    <row r="61" spans="1:23" x14ac:dyDescent="0.25">
      <c r="A61" s="26" t="s">
        <v>20</v>
      </c>
      <c r="B61" s="5" t="s">
        <v>215</v>
      </c>
      <c r="C61" s="19">
        <v>6896.1499999999969</v>
      </c>
      <c r="D61" s="19">
        <v>9829.24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64">
        <f t="shared" si="1"/>
        <v>6896.1499999999969</v>
      </c>
      <c r="N61" s="164">
        <f t="shared" si="1"/>
        <v>9829.24</v>
      </c>
      <c r="O61" s="19">
        <f t="shared" si="2"/>
        <v>2933.0900000000029</v>
      </c>
      <c r="P61" s="165">
        <f t="shared" si="3"/>
        <v>0.42532282505455998</v>
      </c>
      <c r="Q61" s="166">
        <f t="shared" si="4"/>
        <v>1.4129045043632037E-2</v>
      </c>
      <c r="R61" s="19">
        <f t="shared" si="5"/>
        <v>1895.1253000000029</v>
      </c>
      <c r="S61" s="19">
        <v>205171</v>
      </c>
      <c r="T61" s="19">
        <v>2421.94</v>
      </c>
      <c r="U61" s="19">
        <v>0</v>
      </c>
      <c r="V61" s="19">
        <f t="shared" si="6"/>
        <v>207592.94</v>
      </c>
      <c r="W61" s="102">
        <f t="shared" si="7"/>
        <v>855</v>
      </c>
    </row>
    <row r="62" spans="1:23" x14ac:dyDescent="0.25">
      <c r="A62" s="26" t="s">
        <v>20</v>
      </c>
      <c r="B62" s="5" t="s">
        <v>597</v>
      </c>
      <c r="C62" s="19">
        <v>1192895.4000000001</v>
      </c>
      <c r="D62" s="19">
        <v>1661849.0699999991</v>
      </c>
      <c r="E62" s="19">
        <v>105811.23</v>
      </c>
      <c r="F62" s="19">
        <v>143232.69</v>
      </c>
      <c r="G62" s="19">
        <v>-994.15999999999985</v>
      </c>
      <c r="H62" s="19">
        <v>0</v>
      </c>
      <c r="I62" s="19">
        <v>23398.46</v>
      </c>
      <c r="J62" s="19">
        <v>33531.11</v>
      </c>
      <c r="K62" s="19">
        <v>0</v>
      </c>
      <c r="L62" s="19">
        <v>0</v>
      </c>
      <c r="M62" s="164">
        <f t="shared" si="1"/>
        <v>1276302.33</v>
      </c>
      <c r="N62" s="164">
        <f t="shared" si="1"/>
        <v>1771550.649999999</v>
      </c>
      <c r="O62" s="19">
        <f t="shared" si="2"/>
        <v>495248.3199999989</v>
      </c>
      <c r="P62" s="165">
        <f t="shared" si="3"/>
        <v>0.38803370358181422</v>
      </c>
      <c r="Q62" s="166">
        <f t="shared" si="4"/>
        <v>1.4408592341583265E-2</v>
      </c>
      <c r="R62" s="19">
        <f t="shared" si="5"/>
        <v>323389.64419767575</v>
      </c>
      <c r="S62" s="19">
        <v>30893995</v>
      </c>
      <c r="T62" s="19">
        <v>1282427.890000005</v>
      </c>
      <c r="U62" s="19">
        <v>2195312.270464628</v>
      </c>
      <c r="V62" s="19">
        <f t="shared" si="6"/>
        <v>34371735.16046463</v>
      </c>
      <c r="W62" s="102">
        <f t="shared" si="7"/>
        <v>145870</v>
      </c>
    </row>
    <row r="63" spans="1:23" x14ac:dyDescent="0.25">
      <c r="A63" s="6" t="s">
        <v>13</v>
      </c>
      <c r="B63" s="5" t="s">
        <v>598</v>
      </c>
      <c r="C63" s="19">
        <v>645363.3199999996</v>
      </c>
      <c r="D63" s="19">
        <v>893883.74999999965</v>
      </c>
      <c r="E63" s="19">
        <v>142428.32999999999</v>
      </c>
      <c r="F63" s="19">
        <v>187918.17999999996</v>
      </c>
      <c r="G63" s="19">
        <v>0</v>
      </c>
      <c r="H63" s="19">
        <v>0</v>
      </c>
      <c r="I63" s="19">
        <v>41238.139999999985</v>
      </c>
      <c r="J63" s="19">
        <v>72339.409999999989</v>
      </c>
      <c r="K63" s="19">
        <v>-155.26000000000002</v>
      </c>
      <c r="L63" s="19">
        <v>-124.03000000000009</v>
      </c>
      <c r="M63" s="164">
        <f t="shared" si="1"/>
        <v>746708.76999999955</v>
      </c>
      <c r="N63" s="164">
        <f t="shared" si="1"/>
        <v>1009586.5499999997</v>
      </c>
      <c r="O63" s="19">
        <f t="shared" si="2"/>
        <v>262877.78000000014</v>
      </c>
      <c r="P63" s="165">
        <f t="shared" si="3"/>
        <v>0.35204860390216153</v>
      </c>
      <c r="Q63" s="166">
        <f t="shared" si="4"/>
        <v>1.4897807029824187E-2</v>
      </c>
      <c r="R63" s="19">
        <f t="shared" si="5"/>
        <v>174650.77468514393</v>
      </c>
      <c r="S63" s="19">
        <v>14275904</v>
      </c>
      <c r="T63" s="19">
        <v>380942.60000000196</v>
      </c>
      <c r="U63" s="19">
        <v>2988554.4629712407</v>
      </c>
      <c r="V63" s="19">
        <f t="shared" si="6"/>
        <v>17645401.062971242</v>
      </c>
      <c r="W63" s="102">
        <f t="shared" si="7"/>
        <v>78779</v>
      </c>
    </row>
    <row r="64" spans="1:23" x14ac:dyDescent="0.25">
      <c r="A64" s="6" t="s">
        <v>13</v>
      </c>
      <c r="B64" s="5" t="s">
        <v>198</v>
      </c>
      <c r="C64" s="19">
        <v>339735.85000000003</v>
      </c>
      <c r="D64" s="19">
        <v>631582.05999999947</v>
      </c>
      <c r="E64" s="19">
        <v>13823.230000000001</v>
      </c>
      <c r="F64" s="19">
        <v>29960.45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64">
        <f t="shared" si="1"/>
        <v>353559.08</v>
      </c>
      <c r="N64" s="164">
        <f t="shared" si="1"/>
        <v>661542.50999999943</v>
      </c>
      <c r="O64" s="19">
        <f t="shared" si="2"/>
        <v>307983.42999999941</v>
      </c>
      <c r="P64" s="165">
        <f t="shared" si="3"/>
        <v>0.87109466966595628</v>
      </c>
      <c r="Q64" s="166">
        <f t="shared" si="4"/>
        <v>1.5961746313473642E-2</v>
      </c>
      <c r="R64" s="19">
        <f t="shared" si="5"/>
        <v>211507.94919999939</v>
      </c>
      <c r="S64" s="19">
        <v>17312505</v>
      </c>
      <c r="T64" s="19">
        <v>269398.16000000079</v>
      </c>
      <c r="U64" s="19">
        <v>1713193</v>
      </c>
      <c r="V64" s="19">
        <f t="shared" si="6"/>
        <v>19295096.16</v>
      </c>
      <c r="W64" s="102">
        <f t="shared" si="7"/>
        <v>95404</v>
      </c>
    </row>
    <row r="65" spans="1:23" x14ac:dyDescent="0.25">
      <c r="A65" s="6" t="s">
        <v>13</v>
      </c>
      <c r="B65" s="5" t="s">
        <v>599</v>
      </c>
      <c r="C65" s="19">
        <v>231558.94000000009</v>
      </c>
      <c r="D65" s="19">
        <v>392885.08000000019</v>
      </c>
      <c r="E65" s="19">
        <v>33440.950000000004</v>
      </c>
      <c r="F65" s="19">
        <v>52217.119999999988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64">
        <f t="shared" si="1"/>
        <v>264999.89000000007</v>
      </c>
      <c r="N65" s="164">
        <f t="shared" si="1"/>
        <v>445102.20000000019</v>
      </c>
      <c r="O65" s="19">
        <f t="shared" si="2"/>
        <v>180102.31000000011</v>
      </c>
      <c r="P65" s="165">
        <f t="shared" si="3"/>
        <v>0.67963164060181325</v>
      </c>
      <c r="Q65" s="166">
        <f t="shared" si="4"/>
        <v>2.2130335310423462E-2</v>
      </c>
      <c r="R65" s="19">
        <f t="shared" si="5"/>
        <v>139411.03545000011</v>
      </c>
      <c r="S65" s="19">
        <v>6452030</v>
      </c>
      <c r="T65" s="19">
        <v>197843.9099999998</v>
      </c>
      <c r="U65" s="19">
        <v>1488381</v>
      </c>
      <c r="V65" s="19">
        <f t="shared" si="6"/>
        <v>8138254.9100000001</v>
      </c>
      <c r="W65" s="102">
        <f t="shared" si="7"/>
        <v>62883</v>
      </c>
    </row>
    <row r="66" spans="1:23" x14ac:dyDescent="0.25">
      <c r="A66" s="6" t="s">
        <v>13</v>
      </c>
      <c r="B66" s="5" t="s">
        <v>192</v>
      </c>
      <c r="C66" s="19">
        <v>112097.36</v>
      </c>
      <c r="D66" s="19">
        <v>173888.07</v>
      </c>
      <c r="E66" s="19">
        <v>8641.5399999999991</v>
      </c>
      <c r="F66" s="19">
        <v>30576.510000000002</v>
      </c>
      <c r="G66" s="19">
        <v>17200.23</v>
      </c>
      <c r="H66" s="19">
        <v>17567.57</v>
      </c>
      <c r="I66" s="19">
        <v>0</v>
      </c>
      <c r="J66" s="19">
        <v>0</v>
      </c>
      <c r="K66" s="19">
        <v>0</v>
      </c>
      <c r="L66" s="19">
        <v>3743.7</v>
      </c>
      <c r="M66" s="164">
        <f t="shared" si="1"/>
        <v>112097.36</v>
      </c>
      <c r="N66" s="164">
        <f t="shared" si="1"/>
        <v>183153.31</v>
      </c>
      <c r="O66" s="19">
        <f t="shared" si="2"/>
        <v>71055.95</v>
      </c>
      <c r="P66" s="165">
        <f t="shared" si="3"/>
        <v>0.63387710468828162</v>
      </c>
      <c r="Q66" s="166">
        <f t="shared" si="4"/>
        <v>9.0510127121127357E-3</v>
      </c>
      <c r="R66" s="19">
        <f t="shared" si="5"/>
        <v>31802.911549999997</v>
      </c>
      <c r="S66" s="19">
        <v>7002357</v>
      </c>
      <c r="T66" s="19">
        <v>67748.6899999999</v>
      </c>
      <c r="U66" s="19">
        <v>780502</v>
      </c>
      <c r="V66" s="19">
        <f t="shared" si="6"/>
        <v>7850607.6899999995</v>
      </c>
      <c r="W66" s="102">
        <f t="shared" si="7"/>
        <v>14345</v>
      </c>
    </row>
    <row r="67" spans="1:23" x14ac:dyDescent="0.25">
      <c r="A67" s="6" t="s">
        <v>13</v>
      </c>
      <c r="B67" s="5" t="s">
        <v>186</v>
      </c>
      <c r="C67" s="19">
        <v>142668.38999999998</v>
      </c>
      <c r="D67" s="19">
        <v>191805.35000000009</v>
      </c>
      <c r="E67" s="19">
        <v>27004.78</v>
      </c>
      <c r="F67" s="19">
        <v>34975.55000000001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64">
        <f t="shared" si="1"/>
        <v>169673.16999999998</v>
      </c>
      <c r="N67" s="164">
        <f t="shared" si="1"/>
        <v>226780.90000000011</v>
      </c>
      <c r="O67" s="19">
        <f t="shared" si="2"/>
        <v>57107.730000000127</v>
      </c>
      <c r="P67" s="165">
        <f t="shared" si="3"/>
        <v>0.33657489867136992</v>
      </c>
      <c r="Q67" s="166">
        <f t="shared" si="4"/>
        <v>1.0114418778742437E-2</v>
      </c>
      <c r="R67" s="19">
        <f t="shared" si="5"/>
        <v>28876.878950000126</v>
      </c>
      <c r="S67" s="19">
        <v>4890523</v>
      </c>
      <c r="T67" s="19">
        <v>122558.2099999999</v>
      </c>
      <c r="U67" s="19">
        <v>633089</v>
      </c>
      <c r="V67" s="19">
        <f t="shared" si="6"/>
        <v>5646170.21</v>
      </c>
      <c r="W67" s="102">
        <f t="shared" si="7"/>
        <v>13025</v>
      </c>
    </row>
    <row r="68" spans="1:23" x14ac:dyDescent="0.25">
      <c r="A68" s="6" t="s">
        <v>13</v>
      </c>
      <c r="B68" s="5" t="s">
        <v>184</v>
      </c>
      <c r="C68" s="19">
        <v>288640.2</v>
      </c>
      <c r="D68" s="19">
        <v>325671.58999999991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64">
        <f t="shared" si="1"/>
        <v>288640.2</v>
      </c>
      <c r="N68" s="164">
        <f t="shared" si="1"/>
        <v>325671.58999999991</v>
      </c>
      <c r="O68" s="19">
        <f t="shared" si="2"/>
        <v>37031.389999999898</v>
      </c>
      <c r="P68" s="165">
        <f t="shared" si="3"/>
        <v>0.12829602390796535</v>
      </c>
      <c r="Q68" s="166">
        <f t="shared" si="4"/>
        <v>6.3100679240279183E-3</v>
      </c>
      <c r="R68" s="19">
        <f t="shared" si="5"/>
        <v>7688.2906499998935</v>
      </c>
      <c r="S68" s="19">
        <v>4417012</v>
      </c>
      <c r="T68" s="19">
        <v>317741.8700000011</v>
      </c>
      <c r="U68" s="19">
        <v>1133866</v>
      </c>
      <c r="V68" s="19">
        <f t="shared" si="6"/>
        <v>5868619.870000001</v>
      </c>
      <c r="W68" s="102">
        <f t="shared" ref="W68:W82" si="8">ROUND(R68/R$83*W$86,0)</f>
        <v>3468</v>
      </c>
    </row>
    <row r="69" spans="1:23" x14ac:dyDescent="0.25">
      <c r="A69" s="6" t="s">
        <v>13</v>
      </c>
      <c r="B69" s="5" t="s">
        <v>174</v>
      </c>
      <c r="C69" s="19">
        <v>442336.98000000021</v>
      </c>
      <c r="D69" s="19">
        <v>524887.6100000001</v>
      </c>
      <c r="E69" s="19">
        <v>79802.090000000011</v>
      </c>
      <c r="F69" s="19">
        <v>106603.20000000001</v>
      </c>
      <c r="G69" s="19">
        <v>57998.220000000016</v>
      </c>
      <c r="H69" s="19">
        <v>77647.070000000007</v>
      </c>
      <c r="I69" s="19">
        <v>0</v>
      </c>
      <c r="J69" s="19">
        <v>0</v>
      </c>
      <c r="K69" s="19">
        <v>0</v>
      </c>
      <c r="L69" s="19">
        <v>0</v>
      </c>
      <c r="M69" s="164">
        <f t="shared" ref="M69:N82" si="9">C69+E69-MIN(G69,E69)-I69-K69</f>
        <v>464140.85000000021</v>
      </c>
      <c r="N69" s="164">
        <f t="shared" si="9"/>
        <v>553843.74</v>
      </c>
      <c r="O69" s="19">
        <f t="shared" ref="O69:O82" si="10">N69-M69</f>
        <v>89702.889999999781</v>
      </c>
      <c r="P69" s="165">
        <f t="shared" ref="P69:P83" si="11">N69/M69-1</f>
        <v>0.19326652674505973</v>
      </c>
      <c r="Q69" s="166">
        <f t="shared" ref="Q69:Q83" si="12">O69/V69</f>
        <v>5.0959263336035074E-3</v>
      </c>
      <c r="R69" s="19">
        <f t="shared" ref="R69:R82" si="13">IF(Q69&gt;0.005,O69-0.005*V69,0)</f>
        <v>1688.5780499997782</v>
      </c>
      <c r="S69" s="19">
        <v>14746492</v>
      </c>
      <c r="T69" s="19">
        <v>345977.390000001</v>
      </c>
      <c r="U69" s="19">
        <v>2510393</v>
      </c>
      <c r="V69" s="19">
        <f t="shared" ref="V69:V82" si="14">SUM(S69:U69)</f>
        <v>17602862.390000001</v>
      </c>
      <c r="W69" s="102">
        <f t="shared" si="8"/>
        <v>762</v>
      </c>
    </row>
    <row r="70" spans="1:23" x14ac:dyDescent="0.25">
      <c r="A70" s="6" t="s">
        <v>13</v>
      </c>
      <c r="B70" s="5" t="s">
        <v>15</v>
      </c>
      <c r="C70" s="19">
        <v>3531271.4200000083</v>
      </c>
      <c r="D70" s="19">
        <v>5157759.4499999955</v>
      </c>
      <c r="E70" s="19">
        <v>132508.48999999996</v>
      </c>
      <c r="F70" s="19">
        <v>185100.38</v>
      </c>
      <c r="G70" s="19">
        <v>1313.44</v>
      </c>
      <c r="H70" s="19">
        <v>400.68</v>
      </c>
      <c r="I70" s="19">
        <v>4446.6200000000008</v>
      </c>
      <c r="J70" s="19">
        <v>13332.009999999997</v>
      </c>
      <c r="K70" s="19">
        <v>228.42000000000002</v>
      </c>
      <c r="L70" s="19">
        <v>243.44</v>
      </c>
      <c r="M70" s="164">
        <f t="shared" si="9"/>
        <v>3657791.4300000081</v>
      </c>
      <c r="N70" s="164">
        <f t="shared" si="9"/>
        <v>5328883.6999999955</v>
      </c>
      <c r="O70" s="19">
        <f t="shared" si="10"/>
        <v>1671092.2699999874</v>
      </c>
      <c r="P70" s="165">
        <f t="shared" si="11"/>
        <v>0.45685827144058444</v>
      </c>
      <c r="Q70" s="166">
        <f t="shared" si="12"/>
        <v>1.4353631059973115E-2</v>
      </c>
      <c r="R70" s="19">
        <f t="shared" si="13"/>
        <v>1088977.4507539934</v>
      </c>
      <c r="S70" s="19">
        <v>111976933</v>
      </c>
      <c r="T70" s="19">
        <v>1977423.0399998799</v>
      </c>
      <c r="U70" s="19">
        <v>2468607.8091989662</v>
      </c>
      <c r="V70" s="19">
        <f t="shared" si="14"/>
        <v>116422963.84919883</v>
      </c>
      <c r="W70" s="102">
        <f t="shared" si="8"/>
        <v>491199</v>
      </c>
    </row>
    <row r="71" spans="1:23" x14ac:dyDescent="0.25">
      <c r="A71" s="6" t="s">
        <v>10</v>
      </c>
      <c r="B71" s="5" t="s">
        <v>154</v>
      </c>
      <c r="C71" s="19">
        <v>320069.43999999989</v>
      </c>
      <c r="D71" s="19">
        <v>454540.88999999984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64">
        <f t="shared" si="9"/>
        <v>320069.43999999989</v>
      </c>
      <c r="N71" s="164">
        <f t="shared" si="9"/>
        <v>454540.88999999984</v>
      </c>
      <c r="O71" s="19">
        <f t="shared" si="10"/>
        <v>134471.44999999995</v>
      </c>
      <c r="P71" s="165">
        <f t="shared" si="11"/>
        <v>0.42013211258156979</v>
      </c>
      <c r="Q71" s="166">
        <f t="shared" si="12"/>
        <v>1.7602180212088991E-2</v>
      </c>
      <c r="R71" s="19">
        <f t="shared" si="13"/>
        <v>96274.065249999956</v>
      </c>
      <c r="S71" s="19">
        <v>6387234</v>
      </c>
      <c r="T71" s="19">
        <v>207660.94999999972</v>
      </c>
      <c r="U71" s="19">
        <v>1044582</v>
      </c>
      <c r="V71" s="19">
        <f t="shared" si="14"/>
        <v>7639476.9499999993</v>
      </c>
      <c r="W71" s="102">
        <f t="shared" si="8"/>
        <v>43426</v>
      </c>
    </row>
    <row r="72" spans="1:23" x14ac:dyDescent="0.25">
      <c r="A72" s="6" t="s">
        <v>10</v>
      </c>
      <c r="B72" s="5" t="s">
        <v>600</v>
      </c>
      <c r="C72" s="19">
        <v>253027.27000000002</v>
      </c>
      <c r="D72" s="19">
        <v>360507.04000000004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64">
        <f t="shared" si="9"/>
        <v>253027.27000000002</v>
      </c>
      <c r="N72" s="164">
        <f t="shared" si="9"/>
        <v>360507.04000000004</v>
      </c>
      <c r="O72" s="19">
        <f t="shared" si="10"/>
        <v>107479.77000000002</v>
      </c>
      <c r="P72" s="165">
        <f t="shared" si="11"/>
        <v>0.42477544021243241</v>
      </c>
      <c r="Q72" s="166">
        <f t="shared" si="12"/>
        <v>1.6551842530706126E-2</v>
      </c>
      <c r="R72" s="19">
        <f t="shared" si="13"/>
        <v>75012.155050000016</v>
      </c>
      <c r="S72" s="19">
        <v>5199615</v>
      </c>
      <c r="T72" s="19">
        <v>307482.98999999987</v>
      </c>
      <c r="U72" s="19">
        <v>986425</v>
      </c>
      <c r="V72" s="19">
        <f t="shared" si="14"/>
        <v>6493522.9900000002</v>
      </c>
      <c r="W72" s="102">
        <f t="shared" si="8"/>
        <v>33835</v>
      </c>
    </row>
    <row r="73" spans="1:23" x14ac:dyDescent="0.25">
      <c r="A73" s="6" t="s">
        <v>10</v>
      </c>
      <c r="B73" s="5" t="s">
        <v>601</v>
      </c>
      <c r="C73" s="19">
        <v>606056.48999999941</v>
      </c>
      <c r="D73" s="19">
        <v>803210.18999999948</v>
      </c>
      <c r="E73" s="19">
        <v>44636.79</v>
      </c>
      <c r="F73" s="19">
        <v>65066.279999999992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64">
        <f t="shared" si="9"/>
        <v>650693.27999999945</v>
      </c>
      <c r="N73" s="164">
        <f t="shared" si="9"/>
        <v>868276.46999999951</v>
      </c>
      <c r="O73" s="19">
        <f t="shared" si="10"/>
        <v>217583.19000000006</v>
      </c>
      <c r="P73" s="165">
        <f t="shared" si="11"/>
        <v>0.33438671750229276</v>
      </c>
      <c r="Q73" s="166">
        <f t="shared" si="12"/>
        <v>1.4478477627019948E-2</v>
      </c>
      <c r="R73" s="19">
        <f t="shared" si="13"/>
        <v>142442.97305000003</v>
      </c>
      <c r="S73" s="19">
        <v>10761584</v>
      </c>
      <c r="T73" s="19">
        <v>392209.39000000199</v>
      </c>
      <c r="U73" s="19">
        <v>3874250</v>
      </c>
      <c r="V73" s="19">
        <f t="shared" si="14"/>
        <v>15028043.390000002</v>
      </c>
      <c r="W73" s="102">
        <f t="shared" si="8"/>
        <v>64251</v>
      </c>
    </row>
    <row r="74" spans="1:23" x14ac:dyDescent="0.25">
      <c r="A74" s="6" t="s">
        <v>6</v>
      </c>
      <c r="B74" s="5" t="s">
        <v>602</v>
      </c>
      <c r="C74" s="19">
        <v>498390.1999999996</v>
      </c>
      <c r="D74" s="19">
        <v>673901.55000000051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64">
        <f t="shared" si="9"/>
        <v>498390.1999999996</v>
      </c>
      <c r="N74" s="164">
        <f t="shared" si="9"/>
        <v>673901.55000000051</v>
      </c>
      <c r="O74" s="19">
        <f t="shared" si="10"/>
        <v>175511.35000000091</v>
      </c>
      <c r="P74" s="165">
        <f t="shared" si="11"/>
        <v>0.35215650307730972</v>
      </c>
      <c r="Q74" s="166">
        <f t="shared" si="12"/>
        <v>2.188479589895832E-2</v>
      </c>
      <c r="R74" s="19">
        <f t="shared" si="13"/>
        <v>135412.42680000092</v>
      </c>
      <c r="S74" s="19">
        <v>5900249</v>
      </c>
      <c r="T74" s="19">
        <v>445341.63999999897</v>
      </c>
      <c r="U74" s="19">
        <v>1674194</v>
      </c>
      <c r="V74" s="19">
        <f t="shared" si="14"/>
        <v>8019784.6399999987</v>
      </c>
      <c r="W74" s="102">
        <f t="shared" si="8"/>
        <v>61080</v>
      </c>
    </row>
    <row r="75" spans="1:23" x14ac:dyDescent="0.25">
      <c r="A75" s="6" t="s">
        <v>6</v>
      </c>
      <c r="B75" s="5" t="s">
        <v>603</v>
      </c>
      <c r="C75" s="19">
        <v>473541.01999999973</v>
      </c>
      <c r="D75" s="19">
        <v>656306.86999999976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64">
        <f t="shared" si="9"/>
        <v>473541.01999999973</v>
      </c>
      <c r="N75" s="164">
        <f t="shared" si="9"/>
        <v>656306.86999999976</v>
      </c>
      <c r="O75" s="19">
        <f t="shared" si="10"/>
        <v>182765.85000000003</v>
      </c>
      <c r="P75" s="165">
        <f t="shared" si="11"/>
        <v>0.3859556876403234</v>
      </c>
      <c r="Q75" s="166">
        <f t="shared" si="12"/>
        <v>2.0032415742877351E-2</v>
      </c>
      <c r="R75" s="19">
        <f t="shared" si="13"/>
        <v>137148.32380000001</v>
      </c>
      <c r="S75" s="19">
        <v>7056606</v>
      </c>
      <c r="T75" s="19">
        <v>420302.24000000203</v>
      </c>
      <c r="U75" s="19">
        <v>1646597</v>
      </c>
      <c r="V75" s="19">
        <f t="shared" si="14"/>
        <v>9123505.2400000021</v>
      </c>
      <c r="W75" s="102">
        <f t="shared" si="8"/>
        <v>61863</v>
      </c>
    </row>
    <row r="76" spans="1:23" x14ac:dyDescent="0.25">
      <c r="A76" s="6" t="s">
        <v>6</v>
      </c>
      <c r="B76" s="5" t="s">
        <v>117</v>
      </c>
      <c r="C76" s="19">
        <v>671034.96999999986</v>
      </c>
      <c r="D76" s="19">
        <v>1004495.22</v>
      </c>
      <c r="E76" s="19">
        <v>0</v>
      </c>
      <c r="F76" s="19">
        <v>1785.4399999999998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64">
        <f t="shared" si="9"/>
        <v>671034.96999999986</v>
      </c>
      <c r="N76" s="164">
        <f t="shared" si="9"/>
        <v>1006280.6599999999</v>
      </c>
      <c r="O76" s="19">
        <f t="shared" si="10"/>
        <v>335245.69000000006</v>
      </c>
      <c r="P76" s="165">
        <f t="shared" si="11"/>
        <v>0.49959496149656712</v>
      </c>
      <c r="Q76" s="166">
        <f t="shared" si="12"/>
        <v>2.1915653483774129E-2</v>
      </c>
      <c r="R76" s="19">
        <f t="shared" si="13"/>
        <v>258760.24770000007</v>
      </c>
      <c r="S76" s="19">
        <v>12345131</v>
      </c>
      <c r="T76" s="19">
        <v>676061.46000000299</v>
      </c>
      <c r="U76" s="19">
        <v>2275896</v>
      </c>
      <c r="V76" s="19">
        <f t="shared" si="14"/>
        <v>15297088.460000003</v>
      </c>
      <c r="W76" s="102">
        <f t="shared" si="8"/>
        <v>116718</v>
      </c>
    </row>
    <row r="77" spans="1:23" x14ac:dyDescent="0.25">
      <c r="A77" s="6" t="s">
        <v>6</v>
      </c>
      <c r="B77" s="5" t="s">
        <v>5</v>
      </c>
      <c r="C77" s="19">
        <v>681780.21</v>
      </c>
      <c r="D77" s="19">
        <v>977029.96999999892</v>
      </c>
      <c r="E77" s="19">
        <v>2526.9900000000002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64">
        <f t="shared" si="9"/>
        <v>684307.2</v>
      </c>
      <c r="N77" s="164">
        <f t="shared" si="9"/>
        <v>977029.96999999892</v>
      </c>
      <c r="O77" s="19">
        <f t="shared" si="10"/>
        <v>292722.76999999897</v>
      </c>
      <c r="P77" s="165">
        <f t="shared" si="11"/>
        <v>0.4277651469983057</v>
      </c>
      <c r="Q77" s="166">
        <f t="shared" si="12"/>
        <v>1.6414909882916145E-2</v>
      </c>
      <c r="R77" s="19">
        <f t="shared" si="13"/>
        <v>203559.08524999896</v>
      </c>
      <c r="S77" s="19">
        <v>16131893</v>
      </c>
      <c r="T77" s="19">
        <v>163311.950000001</v>
      </c>
      <c r="U77" s="19">
        <v>1537532</v>
      </c>
      <c r="V77" s="19">
        <f t="shared" si="14"/>
        <v>17832736.950000003</v>
      </c>
      <c r="W77" s="102">
        <f t="shared" si="8"/>
        <v>91818</v>
      </c>
    </row>
    <row r="78" spans="1:23" x14ac:dyDescent="0.25">
      <c r="A78" s="6" t="s">
        <v>1</v>
      </c>
      <c r="B78" s="5" t="s">
        <v>114</v>
      </c>
      <c r="C78" s="19">
        <v>209578.94999999998</v>
      </c>
      <c r="D78" s="19">
        <v>298035.96000000008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64">
        <f t="shared" si="9"/>
        <v>209578.94999999998</v>
      </c>
      <c r="N78" s="164">
        <f t="shared" si="9"/>
        <v>298035.96000000008</v>
      </c>
      <c r="O78" s="19">
        <f t="shared" si="10"/>
        <v>88457.010000000097</v>
      </c>
      <c r="P78" s="165">
        <f t="shared" si="11"/>
        <v>0.42207010770881381</v>
      </c>
      <c r="Q78" s="166">
        <f t="shared" si="12"/>
        <v>1.8735698310375807E-2</v>
      </c>
      <c r="R78" s="19">
        <f t="shared" si="13"/>
        <v>64850.467950000093</v>
      </c>
      <c r="S78" s="19">
        <v>3595461</v>
      </c>
      <c r="T78" s="19">
        <v>150084.41</v>
      </c>
      <c r="U78" s="19">
        <v>975763</v>
      </c>
      <c r="V78" s="19">
        <f t="shared" si="14"/>
        <v>4721308.41</v>
      </c>
      <c r="W78" s="102">
        <f t="shared" si="8"/>
        <v>29252</v>
      </c>
    </row>
    <row r="79" spans="1:23" x14ac:dyDescent="0.25">
      <c r="A79" s="6" t="s">
        <v>1</v>
      </c>
      <c r="B79" s="5" t="s">
        <v>102</v>
      </c>
      <c r="C79" s="19">
        <v>301004.26999999949</v>
      </c>
      <c r="D79" s="19">
        <v>370631.26999999996</v>
      </c>
      <c r="E79" s="19">
        <v>12991.98</v>
      </c>
      <c r="F79" s="19">
        <v>33475.94</v>
      </c>
      <c r="G79" s="19">
        <v>-5855.86</v>
      </c>
      <c r="H79" s="19">
        <v>-25080.530000000002</v>
      </c>
      <c r="I79" s="19">
        <v>5855.86</v>
      </c>
      <c r="J79" s="19">
        <v>22907.75</v>
      </c>
      <c r="K79" s="19">
        <v>0</v>
      </c>
      <c r="L79" s="19">
        <v>0</v>
      </c>
      <c r="M79" s="164">
        <f t="shared" si="9"/>
        <v>313996.24999999948</v>
      </c>
      <c r="N79" s="164">
        <f t="shared" si="9"/>
        <v>406279.99</v>
      </c>
      <c r="O79" s="19">
        <f t="shared" si="10"/>
        <v>92283.740000000515</v>
      </c>
      <c r="P79" s="165">
        <f t="shared" si="11"/>
        <v>0.29390077110793733</v>
      </c>
      <c r="Q79" s="166">
        <f t="shared" si="12"/>
        <v>1.6468973168394047E-2</v>
      </c>
      <c r="R79" s="19">
        <f t="shared" si="13"/>
        <v>64266.28588904714</v>
      </c>
      <c r="S79" s="19">
        <v>4657652</v>
      </c>
      <c r="T79" s="19">
        <v>328438.99999999924</v>
      </c>
      <c r="U79" s="19">
        <v>617399.82219067577</v>
      </c>
      <c r="V79" s="19">
        <f t="shared" si="14"/>
        <v>5603490.822190675</v>
      </c>
      <c r="W79" s="102">
        <f t="shared" si="8"/>
        <v>28988</v>
      </c>
    </row>
    <row r="80" spans="1:23" x14ac:dyDescent="0.25">
      <c r="A80" s="6" t="s">
        <v>1</v>
      </c>
      <c r="B80" s="5" t="s">
        <v>604</v>
      </c>
      <c r="C80" s="19">
        <v>181223.77</v>
      </c>
      <c r="D80" s="19">
        <v>301537.71999999991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64">
        <f t="shared" si="9"/>
        <v>181223.77</v>
      </c>
      <c r="N80" s="164">
        <f t="shared" si="9"/>
        <v>301537.71999999991</v>
      </c>
      <c r="O80" s="19">
        <f t="shared" si="10"/>
        <v>120313.94999999992</v>
      </c>
      <c r="P80" s="165">
        <f t="shared" si="11"/>
        <v>0.66389718081684279</v>
      </c>
      <c r="Q80" s="166">
        <f t="shared" si="12"/>
        <v>3.4505736636308286E-2</v>
      </c>
      <c r="R80" s="19">
        <f t="shared" si="13"/>
        <v>102880.04454999993</v>
      </c>
      <c r="S80" s="19">
        <v>2652407</v>
      </c>
      <c r="T80" s="19">
        <v>182889.08999999979</v>
      </c>
      <c r="U80" s="19">
        <v>651485</v>
      </c>
      <c r="V80" s="19">
        <f t="shared" si="14"/>
        <v>3486781.09</v>
      </c>
      <c r="W80" s="102">
        <f t="shared" si="8"/>
        <v>46406</v>
      </c>
    </row>
    <row r="81" spans="1:23" x14ac:dyDescent="0.25">
      <c r="A81" s="6" t="s">
        <v>1</v>
      </c>
      <c r="B81" s="5" t="s">
        <v>92</v>
      </c>
      <c r="C81" s="19">
        <v>376493.3600000001</v>
      </c>
      <c r="D81" s="19">
        <v>518630.22999999975</v>
      </c>
      <c r="E81" s="19">
        <v>58283.100000000006</v>
      </c>
      <c r="F81" s="19">
        <v>80820.3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64">
        <f t="shared" si="9"/>
        <v>434776.46000000008</v>
      </c>
      <c r="N81" s="164">
        <f t="shared" si="9"/>
        <v>599450.5299999998</v>
      </c>
      <c r="O81" s="19">
        <f t="shared" si="10"/>
        <v>164674.06999999972</v>
      </c>
      <c r="P81" s="165">
        <f t="shared" si="11"/>
        <v>0.37875571736335423</v>
      </c>
      <c r="Q81" s="166">
        <f t="shared" si="12"/>
        <v>1.3649311418002777E-2</v>
      </c>
      <c r="R81" s="19">
        <f t="shared" si="13"/>
        <v>104350.85479999971</v>
      </c>
      <c r="S81" s="19">
        <v>9285349</v>
      </c>
      <c r="T81" s="19">
        <v>336776.03999999852</v>
      </c>
      <c r="U81" s="19">
        <v>2442518</v>
      </c>
      <c r="V81" s="19">
        <f t="shared" si="14"/>
        <v>12064643.039999999</v>
      </c>
      <c r="W81" s="102">
        <f t="shared" si="8"/>
        <v>47069</v>
      </c>
    </row>
    <row r="82" spans="1:23" x14ac:dyDescent="0.25">
      <c r="A82" s="6" t="s">
        <v>1</v>
      </c>
      <c r="B82" s="5" t="s">
        <v>0</v>
      </c>
      <c r="C82" s="19">
        <v>338744.39999999979</v>
      </c>
      <c r="D82" s="19">
        <v>404570.74000000022</v>
      </c>
      <c r="E82" s="19">
        <v>111695.16000000002</v>
      </c>
      <c r="F82" s="19">
        <v>142756.51999999993</v>
      </c>
      <c r="G82" s="19">
        <v>421.38999999999987</v>
      </c>
      <c r="H82" s="19">
        <v>124.27999999999989</v>
      </c>
      <c r="I82" s="19">
        <v>581.38</v>
      </c>
      <c r="J82" s="19">
        <v>1808.18</v>
      </c>
      <c r="K82" s="19">
        <v>0</v>
      </c>
      <c r="L82" s="19">
        <v>0</v>
      </c>
      <c r="M82" s="164">
        <f t="shared" si="9"/>
        <v>449436.7899999998</v>
      </c>
      <c r="N82" s="164">
        <f t="shared" si="9"/>
        <v>545394.80000000005</v>
      </c>
      <c r="O82" s="19">
        <f t="shared" si="10"/>
        <v>95958.010000000242</v>
      </c>
      <c r="P82" s="165">
        <f t="shared" si="11"/>
        <v>0.21350724314313529</v>
      </c>
      <c r="Q82" s="166">
        <f t="shared" si="12"/>
        <v>8.0695355840299573E-3</v>
      </c>
      <c r="R82" s="19">
        <f t="shared" si="13"/>
        <v>36501.05055000024</v>
      </c>
      <c r="S82" s="19">
        <v>9761590</v>
      </c>
      <c r="T82" s="19">
        <v>105994.89</v>
      </c>
      <c r="U82" s="19">
        <v>2023807</v>
      </c>
      <c r="V82" s="19">
        <f t="shared" si="14"/>
        <v>11891391.890000001</v>
      </c>
      <c r="W82" s="102">
        <f t="shared" si="8"/>
        <v>16464</v>
      </c>
    </row>
    <row r="83" spans="1:23" x14ac:dyDescent="0.25">
      <c r="A83" s="264" t="s">
        <v>512</v>
      </c>
      <c r="B83" s="264"/>
      <c r="C83" s="24">
        <f>SUM(C4:C82)</f>
        <v>52838722.110000014</v>
      </c>
      <c r="D83" s="24">
        <f t="shared" ref="D83:O83" si="15">SUM(D4:D82)</f>
        <v>82662743.499999985</v>
      </c>
      <c r="E83" s="24">
        <f t="shared" si="15"/>
        <v>3108364.0899999989</v>
      </c>
      <c r="F83" s="24">
        <f t="shared" si="15"/>
        <v>5087969.459999999</v>
      </c>
      <c r="G83" s="24">
        <f t="shared" si="15"/>
        <v>123311.36000000002</v>
      </c>
      <c r="H83" s="24">
        <f t="shared" si="15"/>
        <v>208015.61000000002</v>
      </c>
      <c r="I83" s="24">
        <f t="shared" si="15"/>
        <v>93978.239999999991</v>
      </c>
      <c r="J83" s="24">
        <f t="shared" si="15"/>
        <v>185210.25</v>
      </c>
      <c r="K83" s="24">
        <f t="shared" si="15"/>
        <v>31250.799999999999</v>
      </c>
      <c r="L83" s="24">
        <f t="shared" si="15"/>
        <v>73913.460000000006</v>
      </c>
      <c r="M83" s="24">
        <f t="shared" si="15"/>
        <v>55707104.490000024</v>
      </c>
      <c r="N83" s="24">
        <f t="shared" si="15"/>
        <v>87283573.640000015</v>
      </c>
      <c r="O83" s="24">
        <f t="shared" si="15"/>
        <v>31576469.149999984</v>
      </c>
      <c r="P83" s="167">
        <f t="shared" si="11"/>
        <v>0.56683019947066682</v>
      </c>
      <c r="Q83" s="168">
        <f t="shared" si="12"/>
        <v>1.8668133338213606E-2</v>
      </c>
      <c r="R83" s="24">
        <f t="shared" ref="R83:W83" si="16">SUM(R4:R82)</f>
        <v>23123082.719640665</v>
      </c>
      <c r="S83" s="24">
        <f t="shared" si="16"/>
        <v>1525688250</v>
      </c>
      <c r="T83" s="24">
        <f t="shared" si="16"/>
        <v>59759304.040001124</v>
      </c>
      <c r="U83" s="24">
        <f t="shared" si="16"/>
        <v>106016106.40873989</v>
      </c>
      <c r="V83" s="24">
        <f t="shared" si="16"/>
        <v>1691463660.4487422</v>
      </c>
      <c r="W83" s="24">
        <f t="shared" si="16"/>
        <v>10430000</v>
      </c>
    </row>
    <row r="84" spans="1:23" x14ac:dyDescent="0.25">
      <c r="V84" t="s">
        <v>853</v>
      </c>
      <c r="W84" s="2">
        <v>10430000</v>
      </c>
    </row>
    <row r="85" spans="1:23" x14ac:dyDescent="0.25">
      <c r="V85" t="s">
        <v>531</v>
      </c>
      <c r="W85" s="2">
        <f>W84-W83</f>
        <v>0</v>
      </c>
    </row>
    <row r="86" spans="1:23" x14ac:dyDescent="0.25">
      <c r="W86" s="100">
        <f>10430000-1</f>
        <v>10429999</v>
      </c>
    </row>
  </sheetData>
  <mergeCells count="13">
    <mergeCell ref="A83:B83"/>
    <mergeCell ref="A1:A3"/>
    <mergeCell ref="B1:B3"/>
    <mergeCell ref="C1:R1"/>
    <mergeCell ref="S1:V2"/>
    <mergeCell ref="W1:W3"/>
    <mergeCell ref="C2:D2"/>
    <mergeCell ref="E2:F2"/>
    <mergeCell ref="G2:H2"/>
    <mergeCell ref="I2:J2"/>
    <mergeCell ref="K2:L2"/>
    <mergeCell ref="M2:N2"/>
    <mergeCell ref="O2:R2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120"/>
  <sheetViews>
    <sheetView workbookViewId="0">
      <pane xSplit="3" ySplit="3" topLeftCell="T67" activePane="bottomRight" state="frozen"/>
      <selection pane="topRight" activeCell="D1" sqref="D1"/>
      <selection pane="bottomLeft" activeCell="A4" sqref="A4"/>
      <selection pane="bottomRight" activeCell="AE83" sqref="AE83"/>
    </sheetView>
  </sheetViews>
  <sheetFormatPr defaultRowHeight="13.2" x14ac:dyDescent="0.25"/>
  <cols>
    <col min="2" max="2" width="21.44140625" customWidth="1"/>
    <col min="3" max="3" width="19.44140625" bestFit="1" customWidth="1"/>
    <col min="4" max="6" width="12.6640625" bestFit="1" customWidth="1"/>
    <col min="7" max="7" width="12.44140625" customWidth="1"/>
    <col min="8" max="8" width="16.6640625" customWidth="1"/>
    <col min="9" max="9" width="9.44140625" customWidth="1"/>
    <col min="10" max="10" width="9.88671875" customWidth="1"/>
    <col min="11" max="11" width="7.6640625" customWidth="1"/>
    <col min="12" max="12" width="10.33203125" customWidth="1"/>
    <col min="14" max="14" width="10.109375" customWidth="1"/>
    <col min="15" max="15" width="14.5546875" customWidth="1"/>
    <col min="16" max="16" width="13.88671875" customWidth="1"/>
    <col min="17" max="17" width="13.6640625" customWidth="1"/>
    <col min="18" max="18" width="17.6640625" customWidth="1"/>
    <col min="19" max="19" width="14" customWidth="1"/>
    <col min="20" max="21" width="11.109375" bestFit="1" customWidth="1"/>
    <col min="22" max="22" width="11.88671875" customWidth="1"/>
    <col min="23" max="23" width="12.88671875" customWidth="1"/>
    <col min="24" max="24" width="10.44140625" customWidth="1"/>
    <col min="25" max="25" width="8" customWidth="1"/>
    <col min="26" max="26" width="11.44140625" customWidth="1"/>
    <col min="27" max="27" width="9.88671875" customWidth="1"/>
    <col min="28" max="28" width="9.33203125" customWidth="1"/>
    <col min="29" max="29" width="10.88671875" customWidth="1"/>
    <col min="30" max="30" width="9.33203125" customWidth="1"/>
    <col min="31" max="31" width="13.6640625" customWidth="1"/>
    <col min="32" max="32" width="12.44140625" customWidth="1"/>
    <col min="33" max="33" width="9.6640625" bestFit="1" customWidth="1"/>
    <col min="34" max="34" width="10.109375" bestFit="1" customWidth="1"/>
    <col min="35" max="35" width="18.6640625" bestFit="1" customWidth="1"/>
    <col min="36" max="36" width="11.6640625" bestFit="1" customWidth="1"/>
  </cols>
  <sheetData>
    <row r="1" spans="1:41" x14ac:dyDescent="0.25">
      <c r="A1" s="186" t="s">
        <v>511</v>
      </c>
      <c r="B1" s="186" t="s">
        <v>510</v>
      </c>
      <c r="C1" s="186" t="s">
        <v>733</v>
      </c>
      <c r="D1" s="267" t="s">
        <v>509</v>
      </c>
      <c r="E1" s="273"/>
      <c r="F1" s="273"/>
      <c r="G1" s="273"/>
      <c r="H1" s="273"/>
      <c r="I1" s="281" t="s">
        <v>525</v>
      </c>
      <c r="J1" s="282"/>
      <c r="K1" s="282"/>
      <c r="L1" s="282"/>
      <c r="M1" s="282"/>
      <c r="N1" s="282"/>
      <c r="O1" s="282"/>
      <c r="P1" s="282"/>
      <c r="Q1" s="282"/>
      <c r="R1" s="282"/>
      <c r="S1" s="283"/>
      <c r="T1" s="205" t="s">
        <v>518</v>
      </c>
      <c r="U1" s="272"/>
      <c r="V1" s="245" t="s">
        <v>524</v>
      </c>
      <c r="W1" s="246" t="s">
        <v>814</v>
      </c>
      <c r="X1" s="277" t="s">
        <v>519</v>
      </c>
      <c r="Y1" s="278"/>
      <c r="Z1" s="279"/>
      <c r="AA1" s="205" t="s">
        <v>523</v>
      </c>
      <c r="AB1" s="272"/>
      <c r="AC1" s="205" t="s">
        <v>819</v>
      </c>
      <c r="AD1" s="272"/>
      <c r="AE1" s="181" t="s">
        <v>816</v>
      </c>
      <c r="AF1" s="205" t="s">
        <v>757</v>
      </c>
      <c r="AG1" s="205" t="s">
        <v>534</v>
      </c>
    </row>
    <row r="2" spans="1:41" ht="52.5" customHeight="1" x14ac:dyDescent="0.4">
      <c r="A2" s="186"/>
      <c r="B2" s="186"/>
      <c r="C2" s="186"/>
      <c r="D2" s="274" t="s">
        <v>758</v>
      </c>
      <c r="E2" s="187"/>
      <c r="F2" s="187"/>
      <c r="G2" s="186" t="s">
        <v>809</v>
      </c>
      <c r="H2" s="270" t="s">
        <v>810</v>
      </c>
      <c r="I2" s="267" t="s">
        <v>811</v>
      </c>
      <c r="J2" s="268"/>
      <c r="K2" s="268"/>
      <c r="L2" s="268"/>
      <c r="M2" s="268"/>
      <c r="N2" s="268"/>
      <c r="O2" s="205" t="s">
        <v>514</v>
      </c>
      <c r="P2" s="205" t="s">
        <v>812</v>
      </c>
      <c r="Q2" s="205" t="s">
        <v>813</v>
      </c>
      <c r="R2" s="205" t="s">
        <v>717</v>
      </c>
      <c r="S2" s="270" t="s">
        <v>507</v>
      </c>
      <c r="T2" s="272"/>
      <c r="U2" s="272"/>
      <c r="V2" s="280"/>
      <c r="W2" s="264"/>
      <c r="X2" s="205" t="s">
        <v>791</v>
      </c>
      <c r="Y2" s="205" t="s">
        <v>517</v>
      </c>
      <c r="Z2" s="184" t="s">
        <v>815</v>
      </c>
      <c r="AA2" s="272"/>
      <c r="AB2" s="272"/>
      <c r="AC2" s="272"/>
      <c r="AD2" s="272"/>
      <c r="AE2" s="182"/>
      <c r="AF2" s="272"/>
      <c r="AG2" s="272"/>
    </row>
    <row r="3" spans="1:41" ht="26.4" x14ac:dyDescent="0.25">
      <c r="A3" s="186"/>
      <c r="B3" s="186"/>
      <c r="C3" s="186"/>
      <c r="D3" s="138">
        <v>2020</v>
      </c>
      <c r="E3" s="138">
        <v>2021</v>
      </c>
      <c r="F3" s="138">
        <v>2022</v>
      </c>
      <c r="G3" s="186"/>
      <c r="H3" s="275"/>
      <c r="I3" s="154" t="s">
        <v>506</v>
      </c>
      <c r="J3" s="154" t="s">
        <v>505</v>
      </c>
      <c r="K3" s="121" t="s">
        <v>504</v>
      </c>
      <c r="L3" s="154" t="s">
        <v>503</v>
      </c>
      <c r="M3" s="154" t="s">
        <v>553</v>
      </c>
      <c r="N3" s="154" t="s">
        <v>502</v>
      </c>
      <c r="O3" s="269"/>
      <c r="P3" s="269"/>
      <c r="Q3" s="269"/>
      <c r="R3" s="269"/>
      <c r="S3" s="271"/>
      <c r="T3" s="22">
        <v>2022</v>
      </c>
      <c r="U3" s="22">
        <v>2023</v>
      </c>
      <c r="V3" s="280"/>
      <c r="W3" s="264"/>
      <c r="X3" s="269"/>
      <c r="Y3" s="269"/>
      <c r="Z3" s="246"/>
      <c r="AA3" s="22">
        <v>2022</v>
      </c>
      <c r="AB3" s="139">
        <v>2023</v>
      </c>
      <c r="AC3" s="169" t="s">
        <v>744</v>
      </c>
      <c r="AD3" s="170">
        <v>2023</v>
      </c>
      <c r="AE3" s="183"/>
      <c r="AF3" s="272"/>
      <c r="AG3" s="272"/>
    </row>
    <row r="4" spans="1:41" x14ac:dyDescent="0.25">
      <c r="A4" s="6" t="s">
        <v>69</v>
      </c>
      <c r="B4" s="5" t="s">
        <v>490</v>
      </c>
      <c r="C4" s="5" t="s">
        <v>79</v>
      </c>
      <c r="D4" s="19">
        <v>5635284</v>
      </c>
      <c r="E4" s="19">
        <v>6136873</v>
      </c>
      <c r="F4" s="19">
        <v>6836317</v>
      </c>
      <c r="G4" s="19">
        <v>268912</v>
      </c>
      <c r="H4" s="4">
        <f>0.2*D4+0.3*E4+0.5*F4+G4</f>
        <v>6655189.2000000002</v>
      </c>
      <c r="I4" s="19">
        <v>496</v>
      </c>
      <c r="J4" s="19">
        <v>882</v>
      </c>
      <c r="K4" s="19">
        <v>653</v>
      </c>
      <c r="L4" s="19">
        <v>3686</v>
      </c>
      <c r="M4" s="19">
        <v>1367</v>
      </c>
      <c r="N4" s="19">
        <f>I4+J4+L4+M4</f>
        <v>6431</v>
      </c>
      <c r="O4" s="23">
        <v>1.43</v>
      </c>
      <c r="P4" s="19">
        <v>117</v>
      </c>
      <c r="Q4" s="19">
        <v>7</v>
      </c>
      <c r="R4" s="19">
        <v>126.5</v>
      </c>
      <c r="S4" s="3">
        <f>I4*L$87+J4*L$88+L4*L$92+M4*L$93+R4*L$95+K4*(($O4-1)*0.75+1)*L$89+$P4*L$91*(($O4-1)*0.75+1)+L$90*K4*O4+Q4*L$96</f>
        <v>7078492.4746968383</v>
      </c>
      <c r="T4" s="19">
        <v>365177</v>
      </c>
      <c r="U4" s="15">
        <f t="shared" ref="U4:U35" si="0">IF(ROUND(IF((S4-H4)&lt;0,0,S4-H4)*U$84,0)-T4&lt;-S4*0.02,T4-S4*0.02,ROUND(IF((S4-H4)&lt;0,0,S4-H4)*U$84,0))</f>
        <v>380973</v>
      </c>
      <c r="V4" s="15">
        <v>0</v>
      </c>
      <c r="W4" s="15">
        <f t="shared" ref="W4:W35" si="1">U4+V4</f>
        <v>380973</v>
      </c>
      <c r="X4" s="18"/>
      <c r="Y4" s="76"/>
      <c r="Z4" s="18"/>
      <c r="AA4" s="19">
        <v>0</v>
      </c>
      <c r="AB4" s="19">
        <f t="shared" ref="AB4:AB35" si="2">ROUND(AA4*AB$84,0)</f>
        <v>0</v>
      </c>
      <c r="AC4" s="19"/>
      <c r="AD4" s="19">
        <f>AC4*L$100</f>
        <v>0</v>
      </c>
      <c r="AE4" s="19">
        <f>ROUND(W4+Z4+AB4+AD4,0)</f>
        <v>380973</v>
      </c>
      <c r="AF4" s="19">
        <v>365177</v>
      </c>
      <c r="AG4" s="19">
        <f>AE4-AF4</f>
        <v>15796</v>
      </c>
      <c r="AJ4" s="80"/>
      <c r="AK4" s="80"/>
      <c r="AN4" s="80"/>
      <c r="AO4" s="80"/>
    </row>
    <row r="5" spans="1:41" x14ac:dyDescent="0.25">
      <c r="A5" s="6" t="s">
        <v>69</v>
      </c>
      <c r="B5" s="5" t="s">
        <v>488</v>
      </c>
      <c r="C5" s="5" t="s">
        <v>74</v>
      </c>
      <c r="D5" s="19">
        <v>20098010</v>
      </c>
      <c r="E5" s="19">
        <v>22315979</v>
      </c>
      <c r="F5" s="19">
        <v>26252009</v>
      </c>
      <c r="G5" s="19">
        <v>1388968</v>
      </c>
      <c r="H5" s="4">
        <f t="shared" ref="H5:H68" si="3">0.2*D5+0.3*E5+0.5*F5+G5</f>
        <v>25229368.199999999</v>
      </c>
      <c r="I5" s="19">
        <v>1800</v>
      </c>
      <c r="J5" s="19">
        <v>3283</v>
      </c>
      <c r="K5" s="19">
        <v>2521</v>
      </c>
      <c r="L5" s="19">
        <v>10384</v>
      </c>
      <c r="M5" s="19">
        <v>2053</v>
      </c>
      <c r="N5" s="19">
        <f t="shared" ref="N5:N68" si="4">I5+J5+L5+M5</f>
        <v>17520</v>
      </c>
      <c r="O5" s="23">
        <v>1.39</v>
      </c>
      <c r="P5" s="19">
        <v>316</v>
      </c>
      <c r="Q5" s="19">
        <v>4</v>
      </c>
      <c r="R5" s="19">
        <v>25.2</v>
      </c>
      <c r="S5" s="3">
        <f t="shared" ref="S5:S68" si="5">I5*L$87+J5*L$88+L5*L$92+M5*L$93+R5*L$95+K5*(($O5-1)*0.75+1)*L$89+$P5*L$91*(($O5-1)*0.75+1)+L$90*K5*O5+Q5*L$96</f>
        <v>21669875.17602263</v>
      </c>
      <c r="T5" s="19">
        <v>0</v>
      </c>
      <c r="U5" s="15">
        <f t="shared" si="0"/>
        <v>0</v>
      </c>
      <c r="V5" s="15">
        <v>0</v>
      </c>
      <c r="W5" s="15">
        <f t="shared" si="1"/>
        <v>0</v>
      </c>
      <c r="X5" s="18"/>
      <c r="Y5" s="76"/>
      <c r="Z5" s="18"/>
      <c r="AA5" s="19">
        <v>3981</v>
      </c>
      <c r="AB5" s="19">
        <f t="shared" si="2"/>
        <v>3097</v>
      </c>
      <c r="AC5" s="19"/>
      <c r="AD5" s="19">
        <f t="shared" ref="AD5:AD68" si="6">AC5*L$100</f>
        <v>0</v>
      </c>
      <c r="AE5" s="19">
        <f t="shared" ref="AE5:AE68" si="7">ROUND(W5+Z5+AB5+AD5,0)</f>
        <v>3097</v>
      </c>
      <c r="AF5" s="19">
        <v>3981</v>
      </c>
      <c r="AG5" s="19">
        <f t="shared" ref="AG5:AG68" si="8">AE5-AF5</f>
        <v>-884</v>
      </c>
      <c r="AH5" s="114"/>
      <c r="AJ5" s="80"/>
      <c r="AK5" s="80"/>
      <c r="AN5" s="80"/>
      <c r="AO5" s="80"/>
    </row>
    <row r="6" spans="1:41" x14ac:dyDescent="0.25">
      <c r="A6" s="6" t="s">
        <v>69</v>
      </c>
      <c r="B6" s="5" t="s">
        <v>486</v>
      </c>
      <c r="C6" s="5" t="s">
        <v>77</v>
      </c>
      <c r="D6" s="19">
        <v>7680210</v>
      </c>
      <c r="E6" s="19">
        <v>8175080</v>
      </c>
      <c r="F6" s="19">
        <v>9419926</v>
      </c>
      <c r="G6" s="19">
        <v>1197885</v>
      </c>
      <c r="H6" s="4">
        <f t="shared" si="3"/>
        <v>9896414</v>
      </c>
      <c r="I6" s="19">
        <v>617</v>
      </c>
      <c r="J6" s="19">
        <v>1159</v>
      </c>
      <c r="K6" s="19">
        <v>911</v>
      </c>
      <c r="L6" s="19">
        <v>4325</v>
      </c>
      <c r="M6" s="19">
        <v>1116</v>
      </c>
      <c r="N6" s="19">
        <f t="shared" si="4"/>
        <v>7217</v>
      </c>
      <c r="O6" s="23">
        <v>1.81</v>
      </c>
      <c r="P6" s="19">
        <v>154</v>
      </c>
      <c r="Q6" s="19">
        <v>1</v>
      </c>
      <c r="R6" s="19">
        <v>40</v>
      </c>
      <c r="S6" s="3">
        <f t="shared" si="5"/>
        <v>8903847.0542574208</v>
      </c>
      <c r="T6" s="19">
        <v>0</v>
      </c>
      <c r="U6" s="15">
        <f t="shared" si="0"/>
        <v>0</v>
      </c>
      <c r="V6" s="15">
        <v>0</v>
      </c>
      <c r="W6" s="15">
        <f t="shared" si="1"/>
        <v>0</v>
      </c>
      <c r="X6" s="18"/>
      <c r="Y6" s="76"/>
      <c r="Z6" s="18"/>
      <c r="AA6" s="19">
        <v>80675</v>
      </c>
      <c r="AB6" s="19">
        <f t="shared" si="2"/>
        <v>62765</v>
      </c>
      <c r="AC6" s="19"/>
      <c r="AD6" s="19">
        <f t="shared" si="6"/>
        <v>0</v>
      </c>
      <c r="AE6" s="19">
        <f t="shared" si="7"/>
        <v>62765</v>
      </c>
      <c r="AF6" s="19">
        <v>80675</v>
      </c>
      <c r="AG6" s="19">
        <f t="shared" si="8"/>
        <v>-17910</v>
      </c>
      <c r="AH6" s="114"/>
      <c r="AJ6" s="80"/>
      <c r="AK6" s="80"/>
      <c r="AN6" s="80"/>
      <c r="AO6" s="80"/>
    </row>
    <row r="7" spans="1:41" x14ac:dyDescent="0.25">
      <c r="A7" s="6" t="s">
        <v>69</v>
      </c>
      <c r="B7" s="5" t="s">
        <v>81</v>
      </c>
      <c r="C7" s="5" t="s">
        <v>81</v>
      </c>
      <c r="D7" s="19">
        <v>11367890</v>
      </c>
      <c r="E7" s="19">
        <v>12075316</v>
      </c>
      <c r="F7" s="19">
        <v>13275127</v>
      </c>
      <c r="G7" s="19">
        <v>151260</v>
      </c>
      <c r="H7" s="4">
        <f t="shared" si="3"/>
        <v>12684996.300000001</v>
      </c>
      <c r="I7" s="19">
        <v>966</v>
      </c>
      <c r="J7" s="19">
        <v>1764</v>
      </c>
      <c r="K7" s="19">
        <v>1394</v>
      </c>
      <c r="L7" s="19">
        <v>5916</v>
      </c>
      <c r="M7" s="19">
        <v>1741</v>
      </c>
      <c r="N7" s="19">
        <f t="shared" si="4"/>
        <v>10387</v>
      </c>
      <c r="O7" s="23">
        <v>1</v>
      </c>
      <c r="P7" s="19">
        <v>249</v>
      </c>
      <c r="Q7" s="19">
        <v>5</v>
      </c>
      <c r="R7" s="19">
        <v>80.2</v>
      </c>
      <c r="S7" s="3">
        <f t="shared" si="5"/>
        <v>11836199.510733606</v>
      </c>
      <c r="T7" s="19">
        <v>0</v>
      </c>
      <c r="U7" s="15">
        <f t="shared" si="0"/>
        <v>0</v>
      </c>
      <c r="V7" s="15">
        <v>0</v>
      </c>
      <c r="W7" s="15">
        <f t="shared" si="1"/>
        <v>0</v>
      </c>
      <c r="X7" s="18"/>
      <c r="Y7" s="76"/>
      <c r="Z7" s="18"/>
      <c r="AA7" s="19">
        <v>0</v>
      </c>
      <c r="AB7" s="19">
        <f t="shared" si="2"/>
        <v>0</v>
      </c>
      <c r="AC7" s="19"/>
      <c r="AD7" s="19">
        <f t="shared" si="6"/>
        <v>0</v>
      </c>
      <c r="AE7" s="19">
        <f t="shared" si="7"/>
        <v>0</v>
      </c>
      <c r="AF7" s="19">
        <v>0</v>
      </c>
      <c r="AG7" s="19">
        <f t="shared" si="8"/>
        <v>0</v>
      </c>
      <c r="AH7" s="114"/>
      <c r="AJ7" s="80"/>
      <c r="AK7" s="80"/>
      <c r="AN7" s="80"/>
      <c r="AO7" s="80"/>
    </row>
    <row r="8" spans="1:41" x14ac:dyDescent="0.25">
      <c r="A8" s="6" t="s">
        <v>69</v>
      </c>
      <c r="B8" s="5" t="s">
        <v>480</v>
      </c>
      <c r="C8" s="5" t="s">
        <v>71</v>
      </c>
      <c r="D8" s="19">
        <v>7643278</v>
      </c>
      <c r="E8" s="19">
        <v>8415986</v>
      </c>
      <c r="F8" s="19">
        <v>9795487</v>
      </c>
      <c r="G8" s="19">
        <v>208939</v>
      </c>
      <c r="H8" s="4">
        <f t="shared" si="3"/>
        <v>9160133.9000000004</v>
      </c>
      <c r="I8" s="19">
        <v>694</v>
      </c>
      <c r="J8" s="19">
        <v>1245</v>
      </c>
      <c r="K8" s="19">
        <v>937</v>
      </c>
      <c r="L8" s="19">
        <v>3776</v>
      </c>
      <c r="M8" s="19">
        <v>649</v>
      </c>
      <c r="N8" s="19">
        <f t="shared" si="4"/>
        <v>6364</v>
      </c>
      <c r="O8" s="23">
        <v>1.75</v>
      </c>
      <c r="P8" s="19">
        <v>200</v>
      </c>
      <c r="Q8" s="19">
        <v>2</v>
      </c>
      <c r="R8" s="19">
        <v>10.4</v>
      </c>
      <c r="S8" s="3">
        <f t="shared" si="5"/>
        <v>8656006.8075794764</v>
      </c>
      <c r="T8" s="19">
        <v>0</v>
      </c>
      <c r="U8" s="15">
        <f t="shared" si="0"/>
        <v>0</v>
      </c>
      <c r="V8" s="15">
        <v>0</v>
      </c>
      <c r="W8" s="15">
        <f t="shared" si="1"/>
        <v>0</v>
      </c>
      <c r="X8" s="18"/>
      <c r="Y8" s="76"/>
      <c r="Z8" s="18"/>
      <c r="AA8" s="19">
        <v>1064</v>
      </c>
      <c r="AB8" s="19">
        <f t="shared" si="2"/>
        <v>828</v>
      </c>
      <c r="AC8" s="19"/>
      <c r="AD8" s="19">
        <f t="shared" si="6"/>
        <v>0</v>
      </c>
      <c r="AE8" s="19">
        <f t="shared" si="7"/>
        <v>828</v>
      </c>
      <c r="AF8" s="19">
        <v>1064</v>
      </c>
      <c r="AG8" s="19">
        <f t="shared" si="8"/>
        <v>-236</v>
      </c>
      <c r="AH8" s="114"/>
      <c r="AJ8" s="80"/>
      <c r="AK8" s="80"/>
      <c r="AN8" s="80"/>
      <c r="AO8" s="80"/>
    </row>
    <row r="9" spans="1:41" x14ac:dyDescent="0.25">
      <c r="A9" s="6" t="s">
        <v>69</v>
      </c>
      <c r="B9" s="5" t="s">
        <v>478</v>
      </c>
      <c r="C9" s="5" t="s">
        <v>78</v>
      </c>
      <c r="D9" s="19">
        <v>7192268</v>
      </c>
      <c r="E9" s="19">
        <v>7632100</v>
      </c>
      <c r="F9" s="19">
        <v>8676114</v>
      </c>
      <c r="G9" s="19">
        <v>269446</v>
      </c>
      <c r="H9" s="4">
        <f t="shared" si="3"/>
        <v>8335586.5999999996</v>
      </c>
      <c r="I9" s="19">
        <v>740</v>
      </c>
      <c r="J9" s="19">
        <v>1220</v>
      </c>
      <c r="K9" s="19">
        <v>977</v>
      </c>
      <c r="L9" s="19">
        <v>4469</v>
      </c>
      <c r="M9" s="19">
        <v>1271</v>
      </c>
      <c r="N9" s="19">
        <f t="shared" si="4"/>
        <v>7700</v>
      </c>
      <c r="O9" s="23">
        <v>1.93</v>
      </c>
      <c r="P9" s="19">
        <v>171</v>
      </c>
      <c r="Q9" s="19">
        <v>2</v>
      </c>
      <c r="R9" s="19">
        <v>77.599999999999994</v>
      </c>
      <c r="S9" s="3">
        <f t="shared" si="5"/>
        <v>9960607.0716901366</v>
      </c>
      <c r="T9" s="19">
        <v>1316376</v>
      </c>
      <c r="U9" s="15">
        <f t="shared" si="0"/>
        <v>1462518</v>
      </c>
      <c r="V9" s="15">
        <v>0</v>
      </c>
      <c r="W9" s="15">
        <f t="shared" si="1"/>
        <v>1462518</v>
      </c>
      <c r="X9" s="18"/>
      <c r="Y9" s="76"/>
      <c r="Z9" s="18"/>
      <c r="AA9" s="19">
        <v>2594</v>
      </c>
      <c r="AB9" s="19">
        <f t="shared" si="2"/>
        <v>2018</v>
      </c>
      <c r="AC9" s="19"/>
      <c r="AD9" s="19">
        <f t="shared" si="6"/>
        <v>0</v>
      </c>
      <c r="AE9" s="19">
        <f t="shared" si="7"/>
        <v>1464536</v>
      </c>
      <c r="AF9" s="19">
        <v>1318970</v>
      </c>
      <c r="AG9" s="19">
        <f t="shared" si="8"/>
        <v>145566</v>
      </c>
      <c r="AH9" s="114"/>
      <c r="AJ9" s="80"/>
      <c r="AK9" s="80"/>
      <c r="AN9" s="80"/>
      <c r="AO9" s="80"/>
    </row>
    <row r="10" spans="1:41" x14ac:dyDescent="0.25">
      <c r="A10" s="6" t="s">
        <v>69</v>
      </c>
      <c r="B10" s="5" t="s">
        <v>476</v>
      </c>
      <c r="C10" s="5" t="s">
        <v>84</v>
      </c>
      <c r="D10" s="19">
        <v>6338974</v>
      </c>
      <c r="E10" s="19">
        <v>6652836</v>
      </c>
      <c r="F10" s="19">
        <v>7495285</v>
      </c>
      <c r="G10" s="19">
        <v>465660</v>
      </c>
      <c r="H10" s="4">
        <f t="shared" si="3"/>
        <v>7476948.0999999996</v>
      </c>
      <c r="I10" s="19">
        <v>498</v>
      </c>
      <c r="J10" s="19">
        <v>1003</v>
      </c>
      <c r="K10" s="19">
        <v>762</v>
      </c>
      <c r="L10" s="19">
        <v>3737</v>
      </c>
      <c r="M10" s="19">
        <v>1376</v>
      </c>
      <c r="N10" s="19">
        <f t="shared" si="4"/>
        <v>6614</v>
      </c>
      <c r="O10" s="23">
        <v>2.02</v>
      </c>
      <c r="P10" s="19">
        <v>152</v>
      </c>
      <c r="Q10" s="19">
        <v>0</v>
      </c>
      <c r="R10" s="19">
        <v>67.2</v>
      </c>
      <c r="S10" s="3">
        <f t="shared" si="5"/>
        <v>8096213.3025398916</v>
      </c>
      <c r="T10" s="19">
        <v>609447</v>
      </c>
      <c r="U10" s="15">
        <f t="shared" si="0"/>
        <v>557339</v>
      </c>
      <c r="V10" s="15">
        <v>0</v>
      </c>
      <c r="W10" s="15">
        <f t="shared" si="1"/>
        <v>557339</v>
      </c>
      <c r="X10" s="18"/>
      <c r="Y10" s="76"/>
      <c r="Z10" s="18"/>
      <c r="AA10" s="19">
        <v>7782</v>
      </c>
      <c r="AB10" s="19">
        <f t="shared" si="2"/>
        <v>6054</v>
      </c>
      <c r="AC10" s="19"/>
      <c r="AD10" s="19">
        <f t="shared" si="6"/>
        <v>0</v>
      </c>
      <c r="AE10" s="19">
        <f t="shared" si="7"/>
        <v>563393</v>
      </c>
      <c r="AF10" s="19">
        <v>617229</v>
      </c>
      <c r="AG10" s="19">
        <f t="shared" si="8"/>
        <v>-53836</v>
      </c>
      <c r="AH10" s="114"/>
      <c r="AJ10" s="80"/>
      <c r="AK10" s="80"/>
      <c r="AN10" s="80"/>
      <c r="AO10" s="80"/>
    </row>
    <row r="11" spans="1:41" x14ac:dyDescent="0.25">
      <c r="A11" s="6" t="s">
        <v>69</v>
      </c>
      <c r="B11" s="5" t="s">
        <v>83</v>
      </c>
      <c r="C11" s="5" t="s">
        <v>83</v>
      </c>
      <c r="D11" s="19">
        <v>1757815</v>
      </c>
      <c r="E11" s="19">
        <v>1721082</v>
      </c>
      <c r="F11" s="19">
        <v>1875350</v>
      </c>
      <c r="G11" s="19">
        <v>59252</v>
      </c>
      <c r="H11" s="4">
        <f t="shared" si="3"/>
        <v>1864814.6</v>
      </c>
      <c r="I11" s="19">
        <v>89</v>
      </c>
      <c r="J11" s="19">
        <v>247</v>
      </c>
      <c r="K11" s="19">
        <v>182</v>
      </c>
      <c r="L11" s="19">
        <v>1392</v>
      </c>
      <c r="M11" s="19">
        <v>770</v>
      </c>
      <c r="N11" s="19">
        <f t="shared" si="4"/>
        <v>2498</v>
      </c>
      <c r="O11" s="23">
        <v>1.38</v>
      </c>
      <c r="P11" s="19">
        <v>35</v>
      </c>
      <c r="Q11" s="19">
        <v>0</v>
      </c>
      <c r="R11" s="19">
        <v>18.600000000000001</v>
      </c>
      <c r="S11" s="3">
        <f t="shared" si="5"/>
        <v>2295781.0869416795</v>
      </c>
      <c r="T11" s="19">
        <v>332168.4825094096</v>
      </c>
      <c r="U11" s="15">
        <f t="shared" si="0"/>
        <v>387870</v>
      </c>
      <c r="V11" s="15">
        <v>0</v>
      </c>
      <c r="W11" s="15">
        <f t="shared" si="1"/>
        <v>387870</v>
      </c>
      <c r="X11" s="18"/>
      <c r="Y11" s="76"/>
      <c r="Z11" s="18"/>
      <c r="AA11" s="19">
        <v>0</v>
      </c>
      <c r="AB11" s="19">
        <f t="shared" si="2"/>
        <v>0</v>
      </c>
      <c r="AC11" s="19"/>
      <c r="AD11" s="19">
        <f t="shared" si="6"/>
        <v>0</v>
      </c>
      <c r="AE11" s="19">
        <f t="shared" si="7"/>
        <v>387870</v>
      </c>
      <c r="AF11" s="19">
        <v>332168</v>
      </c>
      <c r="AG11" s="19">
        <f t="shared" si="8"/>
        <v>55702</v>
      </c>
      <c r="AH11" s="114"/>
      <c r="AJ11" s="80"/>
      <c r="AK11" s="80"/>
      <c r="AN11" s="80"/>
      <c r="AO11" s="80"/>
    </row>
    <row r="12" spans="1:41" x14ac:dyDescent="0.25">
      <c r="A12" s="6" t="s">
        <v>69</v>
      </c>
      <c r="B12" s="5" t="s">
        <v>605</v>
      </c>
      <c r="C12" s="5" t="s">
        <v>82</v>
      </c>
      <c r="D12" s="19">
        <v>11863172</v>
      </c>
      <c r="E12" s="19">
        <v>12650273</v>
      </c>
      <c r="F12" s="19">
        <v>14539911</v>
      </c>
      <c r="G12" s="19">
        <v>906784</v>
      </c>
      <c r="H12" s="4">
        <f t="shared" si="3"/>
        <v>14344455.800000001</v>
      </c>
      <c r="I12" s="19">
        <v>989</v>
      </c>
      <c r="J12" s="19">
        <v>1809</v>
      </c>
      <c r="K12" s="19">
        <v>1384</v>
      </c>
      <c r="L12" s="19">
        <v>8100</v>
      </c>
      <c r="M12" s="19">
        <v>2706</v>
      </c>
      <c r="N12" s="19">
        <f t="shared" si="4"/>
        <v>13604</v>
      </c>
      <c r="O12" s="23">
        <v>1.79</v>
      </c>
      <c r="P12" s="19">
        <v>207</v>
      </c>
      <c r="Q12" s="19">
        <v>22</v>
      </c>
      <c r="R12" s="19">
        <v>139</v>
      </c>
      <c r="S12" s="3">
        <f t="shared" si="5"/>
        <v>15320914.596566156</v>
      </c>
      <c r="T12" s="19">
        <v>731089</v>
      </c>
      <c r="U12" s="15">
        <f t="shared" si="0"/>
        <v>878813</v>
      </c>
      <c r="V12" s="15">
        <v>301842.18199015356</v>
      </c>
      <c r="W12" s="15">
        <f t="shared" si="1"/>
        <v>1180655.1819901536</v>
      </c>
      <c r="X12" s="19">
        <f>SUMIF(V$92:V$108,C12,X$92:X$108)</f>
        <v>9</v>
      </c>
      <c r="Y12" s="76">
        <f>SUMIF(V$92:V$108,C12,Y$92:Y$108)</f>
        <v>4</v>
      </c>
      <c r="Z12" s="15">
        <f>ROUND((X12*L$97+Y12*L$98),0)+SUMIF(V$92:V$108,C12,Z$92:Z$108)</f>
        <v>19389.372369899313</v>
      </c>
      <c r="AA12" s="19">
        <v>8622</v>
      </c>
      <c r="AB12" s="19">
        <f t="shared" si="2"/>
        <v>6708</v>
      </c>
      <c r="AC12" s="19"/>
      <c r="AD12" s="19">
        <f t="shared" si="6"/>
        <v>0</v>
      </c>
      <c r="AE12" s="19">
        <f t="shared" si="7"/>
        <v>1206753</v>
      </c>
      <c r="AF12" s="19">
        <v>1059989</v>
      </c>
      <c r="AG12" s="19">
        <f t="shared" si="8"/>
        <v>146764</v>
      </c>
      <c r="AH12" s="114"/>
      <c r="AJ12" s="80"/>
      <c r="AK12" s="80"/>
      <c r="AN12" s="80"/>
      <c r="AO12" s="80"/>
    </row>
    <row r="13" spans="1:41" x14ac:dyDescent="0.25">
      <c r="A13" s="6" t="s">
        <v>69</v>
      </c>
      <c r="B13" s="5" t="s">
        <v>68</v>
      </c>
      <c r="C13" s="5" t="s">
        <v>68</v>
      </c>
      <c r="D13" s="19">
        <v>13270831</v>
      </c>
      <c r="E13" s="19">
        <v>13807747</v>
      </c>
      <c r="F13" s="19">
        <v>15492921</v>
      </c>
      <c r="G13" s="19">
        <v>1786637</v>
      </c>
      <c r="H13" s="4">
        <f t="shared" si="3"/>
        <v>16329587.800000001</v>
      </c>
      <c r="I13" s="19">
        <v>1014</v>
      </c>
      <c r="J13" s="19">
        <v>1989</v>
      </c>
      <c r="K13" s="19">
        <v>1510</v>
      </c>
      <c r="L13" s="19">
        <v>9632</v>
      </c>
      <c r="M13" s="19">
        <v>3405</v>
      </c>
      <c r="N13" s="19">
        <f t="shared" si="4"/>
        <v>16040</v>
      </c>
      <c r="O13" s="23">
        <v>1.02</v>
      </c>
      <c r="P13" s="19">
        <v>262</v>
      </c>
      <c r="Q13" s="19">
        <v>18</v>
      </c>
      <c r="R13" s="19">
        <v>119.69999999999999</v>
      </c>
      <c r="S13" s="3">
        <f t="shared" si="5"/>
        <v>15807658.262368962</v>
      </c>
      <c r="T13" s="19">
        <v>0</v>
      </c>
      <c r="U13" s="15">
        <f t="shared" si="0"/>
        <v>0</v>
      </c>
      <c r="V13" s="15">
        <v>0</v>
      </c>
      <c r="W13" s="15">
        <f t="shared" si="1"/>
        <v>0</v>
      </c>
      <c r="X13" s="18"/>
      <c r="Y13" s="76"/>
      <c r="Z13" s="18"/>
      <c r="AA13" s="19">
        <v>0</v>
      </c>
      <c r="AB13" s="19">
        <f t="shared" si="2"/>
        <v>0</v>
      </c>
      <c r="AC13" s="19"/>
      <c r="AD13" s="19">
        <f t="shared" si="6"/>
        <v>0</v>
      </c>
      <c r="AE13" s="19">
        <f t="shared" si="7"/>
        <v>0</v>
      </c>
      <c r="AF13" s="19">
        <v>0</v>
      </c>
      <c r="AG13" s="19">
        <f t="shared" si="8"/>
        <v>0</v>
      </c>
      <c r="AH13" s="114"/>
      <c r="AJ13" s="80"/>
      <c r="AK13" s="80"/>
      <c r="AN13" s="80"/>
      <c r="AO13" s="80"/>
    </row>
    <row r="14" spans="1:41" x14ac:dyDescent="0.25">
      <c r="A14" s="6" t="s">
        <v>69</v>
      </c>
      <c r="B14" s="5" t="s">
        <v>470</v>
      </c>
      <c r="C14" s="5" t="s">
        <v>73</v>
      </c>
      <c r="D14" s="19">
        <v>5560335</v>
      </c>
      <c r="E14" s="19">
        <v>5994401</v>
      </c>
      <c r="F14" s="19">
        <v>6778070</v>
      </c>
      <c r="G14" s="19">
        <v>150620</v>
      </c>
      <c r="H14" s="4">
        <f t="shared" si="3"/>
        <v>6450042.2999999998</v>
      </c>
      <c r="I14" s="19">
        <v>544</v>
      </c>
      <c r="J14" s="19">
        <v>904</v>
      </c>
      <c r="K14" s="19">
        <v>688</v>
      </c>
      <c r="L14" s="19">
        <v>3047</v>
      </c>
      <c r="M14" s="19">
        <v>849</v>
      </c>
      <c r="N14" s="19">
        <f t="shared" si="4"/>
        <v>5344</v>
      </c>
      <c r="O14" s="23">
        <v>1.54</v>
      </c>
      <c r="P14" s="19">
        <v>121</v>
      </c>
      <c r="Q14" s="19">
        <v>6</v>
      </c>
      <c r="R14" s="19">
        <v>33.800000000000004</v>
      </c>
      <c r="S14" s="3">
        <f t="shared" si="5"/>
        <v>6672658.9204477249</v>
      </c>
      <c r="T14" s="19">
        <v>308608</v>
      </c>
      <c r="U14" s="15">
        <f t="shared" si="0"/>
        <v>200355</v>
      </c>
      <c r="V14" s="15">
        <v>0</v>
      </c>
      <c r="W14" s="15">
        <f t="shared" si="1"/>
        <v>200355</v>
      </c>
      <c r="X14" s="18"/>
      <c r="Y14" s="76"/>
      <c r="Z14" s="18"/>
      <c r="AA14" s="19">
        <v>776</v>
      </c>
      <c r="AB14" s="19">
        <f t="shared" si="2"/>
        <v>604</v>
      </c>
      <c r="AC14" s="19"/>
      <c r="AD14" s="19">
        <f t="shared" si="6"/>
        <v>0</v>
      </c>
      <c r="AE14" s="19">
        <f t="shared" si="7"/>
        <v>200959</v>
      </c>
      <c r="AF14" s="19">
        <v>309384</v>
      </c>
      <c r="AG14" s="19">
        <f t="shared" si="8"/>
        <v>-108425</v>
      </c>
      <c r="AH14" s="114"/>
      <c r="AJ14" s="80"/>
      <c r="AK14" s="80"/>
      <c r="AN14" s="80"/>
      <c r="AO14" s="80"/>
    </row>
    <row r="15" spans="1:41" x14ac:dyDescent="0.25">
      <c r="A15" s="6" t="s">
        <v>69</v>
      </c>
      <c r="B15" s="5" t="s">
        <v>468</v>
      </c>
      <c r="C15" s="5" t="s">
        <v>76</v>
      </c>
      <c r="D15" s="19">
        <v>28326649</v>
      </c>
      <c r="E15" s="19">
        <v>32040002</v>
      </c>
      <c r="F15" s="19">
        <v>37495778</v>
      </c>
      <c r="G15" s="19">
        <v>989098</v>
      </c>
      <c r="H15" s="4">
        <f t="shared" si="3"/>
        <v>35014317.399999999</v>
      </c>
      <c r="I15" s="19">
        <v>3292</v>
      </c>
      <c r="J15" s="19">
        <v>4735</v>
      </c>
      <c r="K15" s="19">
        <v>3860</v>
      </c>
      <c r="L15" s="19">
        <v>13281</v>
      </c>
      <c r="M15" s="19">
        <v>1839</v>
      </c>
      <c r="N15" s="19">
        <f t="shared" si="4"/>
        <v>23147</v>
      </c>
      <c r="O15" s="23">
        <v>1.36</v>
      </c>
      <c r="P15" s="19">
        <v>579</v>
      </c>
      <c r="Q15" s="19">
        <v>0</v>
      </c>
      <c r="R15" s="19">
        <v>46.8</v>
      </c>
      <c r="S15" s="3">
        <f t="shared" si="5"/>
        <v>32495620.972435351</v>
      </c>
      <c r="T15" s="19">
        <v>0</v>
      </c>
      <c r="U15" s="15">
        <f t="shared" si="0"/>
        <v>0</v>
      </c>
      <c r="V15" s="15">
        <v>0</v>
      </c>
      <c r="W15" s="15">
        <f t="shared" si="1"/>
        <v>0</v>
      </c>
      <c r="X15" s="18"/>
      <c r="Y15" s="76"/>
      <c r="Z15" s="18"/>
      <c r="AA15" s="19">
        <v>0</v>
      </c>
      <c r="AB15" s="19">
        <f t="shared" si="2"/>
        <v>0</v>
      </c>
      <c r="AC15" s="19"/>
      <c r="AD15" s="19">
        <f t="shared" si="6"/>
        <v>0</v>
      </c>
      <c r="AE15" s="19">
        <f t="shared" si="7"/>
        <v>0</v>
      </c>
      <c r="AF15" s="19">
        <v>0</v>
      </c>
      <c r="AG15" s="19">
        <f t="shared" si="8"/>
        <v>0</v>
      </c>
      <c r="AH15" s="114"/>
      <c r="AJ15" s="80"/>
      <c r="AK15" s="80"/>
      <c r="AN15" s="80"/>
      <c r="AO15" s="80"/>
    </row>
    <row r="16" spans="1:41" x14ac:dyDescent="0.25">
      <c r="A16" s="6" t="s">
        <v>69</v>
      </c>
      <c r="B16" s="5" t="s">
        <v>466</v>
      </c>
      <c r="C16" s="5" t="s">
        <v>75</v>
      </c>
      <c r="D16" s="19">
        <v>13006736</v>
      </c>
      <c r="E16" s="19">
        <v>14413526</v>
      </c>
      <c r="F16" s="19">
        <v>16445354</v>
      </c>
      <c r="G16" s="19">
        <v>412676</v>
      </c>
      <c r="H16" s="4">
        <f t="shared" si="3"/>
        <v>15560758</v>
      </c>
      <c r="I16" s="19">
        <v>1228</v>
      </c>
      <c r="J16" s="19">
        <v>2120</v>
      </c>
      <c r="K16" s="19">
        <v>1664</v>
      </c>
      <c r="L16" s="19">
        <v>6735</v>
      </c>
      <c r="M16" s="19">
        <v>1561</v>
      </c>
      <c r="N16" s="19">
        <f t="shared" si="4"/>
        <v>11644</v>
      </c>
      <c r="O16" s="23">
        <v>1.46</v>
      </c>
      <c r="P16" s="19">
        <v>322</v>
      </c>
      <c r="Q16" s="19">
        <v>5</v>
      </c>
      <c r="R16" s="19">
        <v>40.799999999999997</v>
      </c>
      <c r="S16" s="3">
        <f t="shared" si="5"/>
        <v>14902135.192741657</v>
      </c>
      <c r="T16" s="19">
        <v>0</v>
      </c>
      <c r="U16" s="15">
        <f t="shared" si="0"/>
        <v>0</v>
      </c>
      <c r="V16" s="15">
        <v>0</v>
      </c>
      <c r="W16" s="15">
        <f t="shared" si="1"/>
        <v>0</v>
      </c>
      <c r="X16" s="18"/>
      <c r="Y16" s="76"/>
      <c r="Z16" s="18"/>
      <c r="AA16" s="19">
        <v>0</v>
      </c>
      <c r="AB16" s="19">
        <f t="shared" si="2"/>
        <v>0</v>
      </c>
      <c r="AC16" s="19"/>
      <c r="AD16" s="19">
        <f t="shared" si="6"/>
        <v>0</v>
      </c>
      <c r="AE16" s="19">
        <f t="shared" si="7"/>
        <v>0</v>
      </c>
      <c r="AF16" s="19">
        <v>0</v>
      </c>
      <c r="AG16" s="19">
        <f t="shared" si="8"/>
        <v>0</v>
      </c>
      <c r="AH16" s="114"/>
      <c r="AJ16" s="80"/>
      <c r="AK16" s="80"/>
      <c r="AN16" s="80"/>
      <c r="AO16" s="80"/>
    </row>
    <row r="17" spans="1:41" x14ac:dyDescent="0.25">
      <c r="A17" s="6" t="s">
        <v>69</v>
      </c>
      <c r="B17" s="5" t="s">
        <v>464</v>
      </c>
      <c r="C17" s="5" t="s">
        <v>80</v>
      </c>
      <c r="D17" s="19">
        <v>27581827</v>
      </c>
      <c r="E17" s="19">
        <v>30649764</v>
      </c>
      <c r="F17" s="19">
        <v>35202307</v>
      </c>
      <c r="G17" s="19">
        <v>1003448</v>
      </c>
      <c r="H17" s="4">
        <f t="shared" si="3"/>
        <v>33315896.100000001</v>
      </c>
      <c r="I17" s="19">
        <v>2725</v>
      </c>
      <c r="J17" s="19">
        <v>4426</v>
      </c>
      <c r="K17" s="19">
        <v>3487</v>
      </c>
      <c r="L17" s="19">
        <v>14850</v>
      </c>
      <c r="M17" s="19">
        <v>3570</v>
      </c>
      <c r="N17" s="19">
        <f t="shared" si="4"/>
        <v>25571</v>
      </c>
      <c r="O17" s="23">
        <v>1.41</v>
      </c>
      <c r="P17" s="19">
        <v>398</v>
      </c>
      <c r="Q17" s="19">
        <v>11</v>
      </c>
      <c r="R17" s="19">
        <v>218.1</v>
      </c>
      <c r="S17" s="3">
        <f t="shared" si="5"/>
        <v>31647179.730401017</v>
      </c>
      <c r="T17" s="19">
        <v>0</v>
      </c>
      <c r="U17" s="15">
        <f t="shared" si="0"/>
        <v>0</v>
      </c>
      <c r="V17" s="15">
        <v>352335.75362703623</v>
      </c>
      <c r="W17" s="15">
        <f t="shared" si="1"/>
        <v>352335.75362703623</v>
      </c>
      <c r="X17" s="18"/>
      <c r="Y17" s="76"/>
      <c r="Z17" s="18"/>
      <c r="AA17" s="19">
        <v>0</v>
      </c>
      <c r="AB17" s="19">
        <f t="shared" si="2"/>
        <v>0</v>
      </c>
      <c r="AC17" s="19"/>
      <c r="AD17" s="19">
        <f t="shared" si="6"/>
        <v>0</v>
      </c>
      <c r="AE17" s="19">
        <f t="shared" si="7"/>
        <v>352336</v>
      </c>
      <c r="AF17" s="19">
        <v>352336</v>
      </c>
      <c r="AG17" s="19">
        <f t="shared" si="8"/>
        <v>0</v>
      </c>
      <c r="AH17" s="114"/>
      <c r="AJ17" s="80"/>
      <c r="AK17" s="80"/>
      <c r="AN17" s="80"/>
      <c r="AO17" s="80"/>
    </row>
    <row r="18" spans="1:41" x14ac:dyDescent="0.25">
      <c r="A18" s="6" t="s">
        <v>69</v>
      </c>
      <c r="B18" s="5" t="s">
        <v>587</v>
      </c>
      <c r="C18" s="5" t="s">
        <v>72</v>
      </c>
      <c r="D18" s="19">
        <v>488544204</v>
      </c>
      <c r="E18" s="19">
        <v>528080928</v>
      </c>
      <c r="F18" s="19">
        <v>598392598</v>
      </c>
      <c r="G18" s="19">
        <v>26088265</v>
      </c>
      <c r="H18" s="4">
        <f t="shared" si="3"/>
        <v>581417683.20000005</v>
      </c>
      <c r="I18" s="19">
        <v>31032</v>
      </c>
      <c r="J18" s="19">
        <v>58071</v>
      </c>
      <c r="K18" s="19">
        <v>44541</v>
      </c>
      <c r="L18" s="19">
        <v>284704</v>
      </c>
      <c r="M18" s="19">
        <v>84566</v>
      </c>
      <c r="N18" s="19">
        <f t="shared" si="4"/>
        <v>458373</v>
      </c>
      <c r="O18" s="23">
        <v>1</v>
      </c>
      <c r="P18" s="19">
        <v>8053</v>
      </c>
      <c r="Q18" s="19">
        <v>198</v>
      </c>
      <c r="R18" s="19">
        <v>3214</v>
      </c>
      <c r="S18" s="3">
        <f t="shared" si="5"/>
        <v>456951820.58920532</v>
      </c>
      <c r="T18" s="19">
        <v>0</v>
      </c>
      <c r="U18" s="15">
        <f t="shared" si="0"/>
        <v>0</v>
      </c>
      <c r="V18" s="15">
        <v>0</v>
      </c>
      <c r="W18" s="15">
        <f t="shared" si="1"/>
        <v>0</v>
      </c>
      <c r="X18" s="19">
        <f>SUMIF(V$92:V$108,C18,X$92:X$108)</f>
        <v>22</v>
      </c>
      <c r="Y18" s="76">
        <f>SUMIF(V$92:V$108,C18,Y$92:Y$108)</f>
        <v>14.4</v>
      </c>
      <c r="Z18" s="15">
        <f>ROUND((X18*L$97+Y18*L$98),0)+SUMIF(V$92:V$108,C18,Z$92:Z$108)</f>
        <v>29042.372369899313</v>
      </c>
      <c r="AA18" s="19">
        <v>0</v>
      </c>
      <c r="AB18" s="19">
        <f t="shared" si="2"/>
        <v>0</v>
      </c>
      <c r="AC18" s="19"/>
      <c r="AD18" s="19">
        <f t="shared" si="6"/>
        <v>0</v>
      </c>
      <c r="AE18" s="19">
        <f t="shared" si="7"/>
        <v>29042</v>
      </c>
      <c r="AF18" s="19">
        <v>27393</v>
      </c>
      <c r="AG18" s="19">
        <f t="shared" si="8"/>
        <v>1649</v>
      </c>
      <c r="AH18" s="114"/>
      <c r="AJ18" s="80"/>
      <c r="AK18" s="80"/>
      <c r="AN18" s="80"/>
      <c r="AO18" s="80"/>
    </row>
    <row r="19" spans="1:41" x14ac:dyDescent="0.25">
      <c r="A19" s="6" t="s">
        <v>69</v>
      </c>
      <c r="B19" s="5" t="s">
        <v>460</v>
      </c>
      <c r="C19" s="5" t="s">
        <v>70</v>
      </c>
      <c r="D19" s="19">
        <v>28284681</v>
      </c>
      <c r="E19" s="19">
        <v>30941183</v>
      </c>
      <c r="F19" s="19">
        <v>35735996</v>
      </c>
      <c r="G19" s="19">
        <v>2539662</v>
      </c>
      <c r="H19" s="4">
        <f t="shared" si="3"/>
        <v>35346951.100000001</v>
      </c>
      <c r="I19" s="19">
        <v>2233</v>
      </c>
      <c r="J19" s="19">
        <v>4128</v>
      </c>
      <c r="K19" s="19">
        <v>3168</v>
      </c>
      <c r="L19" s="19">
        <v>12985</v>
      </c>
      <c r="M19" s="19">
        <v>3135</v>
      </c>
      <c r="N19" s="19">
        <f t="shared" si="4"/>
        <v>22481</v>
      </c>
      <c r="O19" s="23">
        <v>1.1299999999999999</v>
      </c>
      <c r="P19" s="19">
        <v>350</v>
      </c>
      <c r="Q19" s="19">
        <v>5</v>
      </c>
      <c r="R19" s="19">
        <v>67.5</v>
      </c>
      <c r="S19" s="3">
        <f t="shared" si="5"/>
        <v>26386891.62181199</v>
      </c>
      <c r="T19" s="19">
        <v>0</v>
      </c>
      <c r="U19" s="15">
        <f t="shared" si="0"/>
        <v>0</v>
      </c>
      <c r="V19" s="15">
        <v>0</v>
      </c>
      <c r="W19" s="15">
        <f t="shared" si="1"/>
        <v>0</v>
      </c>
      <c r="X19" s="19">
        <f>SUMIF(V$92:V$108,C19,X$92:X$108)</f>
        <v>249</v>
      </c>
      <c r="Y19" s="76">
        <f>SUMIF(V$92:V$108,C19,Y$92:Y$108)</f>
        <v>38</v>
      </c>
      <c r="Z19" s="15">
        <f>ROUND((X19*L$97+Y19*L$98),0)+SUMIF(V$92:V$108,C19,Z$92:Z$108)</f>
        <v>126098.11710969792</v>
      </c>
      <c r="AA19" s="19">
        <v>0</v>
      </c>
      <c r="AB19" s="19">
        <f t="shared" si="2"/>
        <v>0</v>
      </c>
      <c r="AC19" s="19"/>
      <c r="AD19" s="19">
        <f t="shared" si="6"/>
        <v>0</v>
      </c>
      <c r="AE19" s="19">
        <f t="shared" si="7"/>
        <v>126098</v>
      </c>
      <c r="AF19" s="19">
        <v>118575</v>
      </c>
      <c r="AG19" s="19">
        <f t="shared" si="8"/>
        <v>7523</v>
      </c>
      <c r="AH19" s="114"/>
      <c r="AJ19" s="80"/>
      <c r="AK19" s="80"/>
      <c r="AN19" s="80"/>
      <c r="AO19" s="80"/>
    </row>
    <row r="20" spans="1:41" x14ac:dyDescent="0.25">
      <c r="A20" s="6" t="s">
        <v>67</v>
      </c>
      <c r="B20" s="5" t="s">
        <v>591</v>
      </c>
      <c r="C20" s="5" t="s">
        <v>66</v>
      </c>
      <c r="D20" s="19">
        <v>9487763</v>
      </c>
      <c r="E20" s="19">
        <v>10138012</v>
      </c>
      <c r="F20" s="19">
        <v>11329501</v>
      </c>
      <c r="G20" s="19">
        <v>378694</v>
      </c>
      <c r="H20" s="4">
        <f t="shared" si="3"/>
        <v>10982400.699999999</v>
      </c>
      <c r="I20" s="19">
        <v>464</v>
      </c>
      <c r="J20" s="19">
        <v>969</v>
      </c>
      <c r="K20" s="19">
        <v>709</v>
      </c>
      <c r="L20" s="19">
        <v>6074</v>
      </c>
      <c r="M20" s="19">
        <v>2251</v>
      </c>
      <c r="N20" s="19">
        <f t="shared" si="4"/>
        <v>9758</v>
      </c>
      <c r="O20" s="23">
        <v>1.68</v>
      </c>
      <c r="P20" s="19">
        <v>30</v>
      </c>
      <c r="Q20" s="19">
        <v>15</v>
      </c>
      <c r="R20" s="19">
        <v>189.60000000000002</v>
      </c>
      <c r="S20" s="3">
        <f t="shared" si="5"/>
        <v>9219603.6466297526</v>
      </c>
      <c r="T20" s="19">
        <v>0</v>
      </c>
      <c r="U20" s="15">
        <f t="shared" si="0"/>
        <v>0</v>
      </c>
      <c r="V20" s="15">
        <v>0</v>
      </c>
      <c r="W20" s="15">
        <f t="shared" si="1"/>
        <v>0</v>
      </c>
      <c r="X20" s="19">
        <f>SUMIF(V$92:V$108,C20,X$92:X$108)</f>
        <v>6</v>
      </c>
      <c r="Y20" s="76">
        <f>SUMIF(V$92:V$108,C20,Y$92:Y$108)</f>
        <v>7.1</v>
      </c>
      <c r="Z20" s="15">
        <f>ROUND((X20*L$97+Y20*L$98),0)+SUMIF(V$92:V$108,C20,Z$92:Z$108)</f>
        <v>20678.372369899313</v>
      </c>
      <c r="AA20" s="19">
        <v>3352</v>
      </c>
      <c r="AB20" s="19">
        <f t="shared" si="2"/>
        <v>2608</v>
      </c>
      <c r="AC20" s="19"/>
      <c r="AD20" s="19">
        <f t="shared" si="6"/>
        <v>0</v>
      </c>
      <c r="AE20" s="19">
        <f t="shared" si="7"/>
        <v>23286</v>
      </c>
      <c r="AF20" s="19">
        <v>23012</v>
      </c>
      <c r="AG20" s="19">
        <f t="shared" si="8"/>
        <v>274</v>
      </c>
      <c r="AH20" s="114"/>
      <c r="AJ20" s="80"/>
      <c r="AK20" s="80"/>
      <c r="AN20" s="80"/>
      <c r="AO20" s="80"/>
    </row>
    <row r="21" spans="1:41" x14ac:dyDescent="0.25">
      <c r="A21" s="6" t="s">
        <v>58</v>
      </c>
      <c r="B21" s="5" t="s">
        <v>592</v>
      </c>
      <c r="C21" s="5" t="s">
        <v>65</v>
      </c>
      <c r="D21" s="19">
        <v>3547587</v>
      </c>
      <c r="E21" s="19">
        <v>3746091</v>
      </c>
      <c r="F21" s="19">
        <v>4145540</v>
      </c>
      <c r="G21" s="19">
        <v>484066</v>
      </c>
      <c r="H21" s="4">
        <f t="shared" si="3"/>
        <v>4390180.7</v>
      </c>
      <c r="I21" s="19">
        <v>242</v>
      </c>
      <c r="J21" s="19">
        <v>547</v>
      </c>
      <c r="K21" s="19">
        <v>412</v>
      </c>
      <c r="L21" s="19">
        <v>2774</v>
      </c>
      <c r="M21" s="19">
        <v>1115</v>
      </c>
      <c r="N21" s="19">
        <f t="shared" si="4"/>
        <v>4678</v>
      </c>
      <c r="O21" s="23">
        <v>2.0699999999999998</v>
      </c>
      <c r="P21" s="19">
        <v>42</v>
      </c>
      <c r="Q21" s="19">
        <v>1</v>
      </c>
      <c r="R21" s="19">
        <v>115.39999999999999</v>
      </c>
      <c r="S21" s="3">
        <f t="shared" si="5"/>
        <v>4922723.3769104425</v>
      </c>
      <c r="T21" s="19">
        <v>557107</v>
      </c>
      <c r="U21" s="15">
        <f t="shared" si="0"/>
        <v>479288</v>
      </c>
      <c r="V21" s="15">
        <v>0</v>
      </c>
      <c r="W21" s="15">
        <f t="shared" si="1"/>
        <v>479288</v>
      </c>
      <c r="X21" s="18"/>
      <c r="Y21" s="76"/>
      <c r="Z21" s="18"/>
      <c r="AA21" s="19">
        <v>401</v>
      </c>
      <c r="AB21" s="19">
        <f t="shared" si="2"/>
        <v>312</v>
      </c>
      <c r="AC21" s="19"/>
      <c r="AD21" s="19">
        <f t="shared" si="6"/>
        <v>0</v>
      </c>
      <c r="AE21" s="19">
        <f t="shared" si="7"/>
        <v>479600</v>
      </c>
      <c r="AF21" s="19">
        <v>557508</v>
      </c>
      <c r="AG21" s="19">
        <f t="shared" si="8"/>
        <v>-77908</v>
      </c>
      <c r="AH21" s="114"/>
      <c r="AJ21" s="80"/>
      <c r="AK21" s="80"/>
      <c r="AN21" s="80"/>
      <c r="AO21" s="80"/>
    </row>
    <row r="22" spans="1:41" x14ac:dyDescent="0.25">
      <c r="A22" s="6" t="s">
        <v>58</v>
      </c>
      <c r="B22" s="5" t="s">
        <v>434</v>
      </c>
      <c r="C22" s="5" t="s">
        <v>60</v>
      </c>
      <c r="D22" s="19">
        <v>9064127</v>
      </c>
      <c r="E22" s="19">
        <v>9449224</v>
      </c>
      <c r="F22" s="19">
        <v>10496432</v>
      </c>
      <c r="G22" s="19">
        <v>208449</v>
      </c>
      <c r="H22" s="4">
        <f t="shared" si="3"/>
        <v>10104257.6</v>
      </c>
      <c r="I22" s="19">
        <v>760</v>
      </c>
      <c r="J22" s="19">
        <v>1421</v>
      </c>
      <c r="K22" s="19">
        <v>1073</v>
      </c>
      <c r="L22" s="19">
        <v>6320</v>
      </c>
      <c r="M22" s="19">
        <v>2958</v>
      </c>
      <c r="N22" s="19">
        <f t="shared" si="4"/>
        <v>11459</v>
      </c>
      <c r="O22" s="23">
        <v>1.1000000000000001</v>
      </c>
      <c r="P22" s="19">
        <v>47</v>
      </c>
      <c r="Q22" s="19">
        <v>5</v>
      </c>
      <c r="R22" s="19">
        <v>125.3</v>
      </c>
      <c r="S22" s="3">
        <f t="shared" si="5"/>
        <v>11396477.557858558</v>
      </c>
      <c r="T22" s="19">
        <v>897308</v>
      </c>
      <c r="U22" s="15">
        <f t="shared" si="0"/>
        <v>1162998</v>
      </c>
      <c r="V22" s="15">
        <v>0</v>
      </c>
      <c r="W22" s="15">
        <f t="shared" si="1"/>
        <v>1162998</v>
      </c>
      <c r="X22" s="18"/>
      <c r="Y22" s="76"/>
      <c r="Z22" s="18"/>
      <c r="AA22" s="19">
        <v>0</v>
      </c>
      <c r="AB22" s="19">
        <f t="shared" si="2"/>
        <v>0</v>
      </c>
      <c r="AC22" s="19"/>
      <c r="AD22" s="19">
        <f t="shared" si="6"/>
        <v>0</v>
      </c>
      <c r="AE22" s="19">
        <f t="shared" si="7"/>
        <v>1162998</v>
      </c>
      <c r="AF22" s="19">
        <v>897308</v>
      </c>
      <c r="AG22" s="19">
        <f t="shared" si="8"/>
        <v>265690</v>
      </c>
      <c r="AH22" s="114"/>
      <c r="AJ22" s="80"/>
      <c r="AK22" s="80"/>
      <c r="AN22" s="80"/>
      <c r="AO22" s="80"/>
    </row>
    <row r="23" spans="1:41" x14ac:dyDescent="0.25">
      <c r="A23" s="6" t="s">
        <v>58</v>
      </c>
      <c r="B23" s="5" t="s">
        <v>57</v>
      </c>
      <c r="C23" s="5" t="s">
        <v>57</v>
      </c>
      <c r="D23" s="19">
        <v>22067850</v>
      </c>
      <c r="E23" s="19">
        <v>22427134</v>
      </c>
      <c r="F23" s="19">
        <v>24223219</v>
      </c>
      <c r="G23" s="19">
        <v>204081</v>
      </c>
      <c r="H23" s="4">
        <f t="shared" si="3"/>
        <v>23457400.699999999</v>
      </c>
      <c r="I23" s="19">
        <v>1629</v>
      </c>
      <c r="J23" s="19">
        <v>4020</v>
      </c>
      <c r="K23" s="19">
        <v>2949</v>
      </c>
      <c r="L23" s="19">
        <v>17968</v>
      </c>
      <c r="M23" s="19">
        <v>8679</v>
      </c>
      <c r="N23" s="19">
        <f t="shared" si="4"/>
        <v>32296</v>
      </c>
      <c r="O23" s="23">
        <v>1.0900000000000001</v>
      </c>
      <c r="P23" s="19">
        <v>202</v>
      </c>
      <c r="Q23" s="19">
        <v>21</v>
      </c>
      <c r="R23" s="19">
        <v>797.40000000000009</v>
      </c>
      <c r="S23" s="3">
        <f t="shared" si="5"/>
        <v>30589519.681702901</v>
      </c>
      <c r="T23" s="19">
        <v>5881612</v>
      </c>
      <c r="U23" s="15">
        <f t="shared" si="0"/>
        <v>6418907</v>
      </c>
      <c r="V23" s="15">
        <v>0</v>
      </c>
      <c r="W23" s="15">
        <f t="shared" si="1"/>
        <v>6418907</v>
      </c>
      <c r="X23" s="18"/>
      <c r="Y23" s="76"/>
      <c r="Z23" s="18"/>
      <c r="AA23" s="19">
        <v>0</v>
      </c>
      <c r="AB23" s="19">
        <f t="shared" si="2"/>
        <v>0</v>
      </c>
      <c r="AC23" s="19"/>
      <c r="AD23" s="19">
        <f t="shared" si="6"/>
        <v>0</v>
      </c>
      <c r="AE23" s="19">
        <f t="shared" si="7"/>
        <v>6418907</v>
      </c>
      <c r="AF23" s="19">
        <v>5881612</v>
      </c>
      <c r="AG23" s="19">
        <f t="shared" si="8"/>
        <v>537295</v>
      </c>
      <c r="AH23" s="114"/>
      <c r="AJ23" s="80"/>
      <c r="AK23" s="80"/>
      <c r="AN23" s="80"/>
      <c r="AO23" s="80"/>
    </row>
    <row r="24" spans="1:41" x14ac:dyDescent="0.25">
      <c r="A24" s="6" t="s">
        <v>58</v>
      </c>
      <c r="B24" s="5" t="s">
        <v>426</v>
      </c>
      <c r="C24" s="5" t="s">
        <v>63</v>
      </c>
      <c r="D24" s="19">
        <v>5580100</v>
      </c>
      <c r="E24" s="19">
        <v>5850022</v>
      </c>
      <c r="F24" s="19">
        <v>6282428</v>
      </c>
      <c r="G24" s="19">
        <v>293885</v>
      </c>
      <c r="H24" s="4">
        <f t="shared" si="3"/>
        <v>6306125.5999999996</v>
      </c>
      <c r="I24" s="19">
        <v>405</v>
      </c>
      <c r="J24" s="19">
        <v>910</v>
      </c>
      <c r="K24" s="19">
        <v>665</v>
      </c>
      <c r="L24" s="19">
        <v>4459</v>
      </c>
      <c r="M24" s="19">
        <v>2414</v>
      </c>
      <c r="N24" s="19">
        <f t="shared" si="4"/>
        <v>8188</v>
      </c>
      <c r="O24" s="23">
        <v>1.41</v>
      </c>
      <c r="P24" s="19">
        <v>64</v>
      </c>
      <c r="Q24" s="19">
        <v>3</v>
      </c>
      <c r="R24" s="19">
        <v>345.90000000000003</v>
      </c>
      <c r="S24" s="3">
        <f t="shared" si="5"/>
        <v>7936442.298203514</v>
      </c>
      <c r="T24" s="19">
        <v>1389063</v>
      </c>
      <c r="U24" s="15">
        <f t="shared" si="0"/>
        <v>1467285</v>
      </c>
      <c r="V24" s="15">
        <v>0</v>
      </c>
      <c r="W24" s="15">
        <f t="shared" si="1"/>
        <v>1467285</v>
      </c>
      <c r="X24" s="18"/>
      <c r="Y24" s="76"/>
      <c r="Z24" s="18"/>
      <c r="AA24" s="19">
        <v>16854</v>
      </c>
      <c r="AB24" s="19">
        <f t="shared" si="2"/>
        <v>13112</v>
      </c>
      <c r="AC24" s="19">
        <v>3</v>
      </c>
      <c r="AD24" s="19">
        <f t="shared" si="6"/>
        <v>17187.229945513758</v>
      </c>
      <c r="AE24" s="19">
        <f t="shared" si="7"/>
        <v>1497584</v>
      </c>
      <c r="AF24" s="19">
        <v>1427706</v>
      </c>
      <c r="AG24" s="19">
        <f t="shared" si="8"/>
        <v>69878</v>
      </c>
      <c r="AH24" s="114"/>
      <c r="AJ24" s="80"/>
      <c r="AK24" s="80"/>
      <c r="AN24" s="80"/>
      <c r="AO24" s="80"/>
    </row>
    <row r="25" spans="1:41" x14ac:dyDescent="0.25">
      <c r="A25" s="6" t="s">
        <v>58</v>
      </c>
      <c r="B25" s="5" t="s">
        <v>59</v>
      </c>
      <c r="C25" s="5" t="s">
        <v>59</v>
      </c>
      <c r="D25" s="19">
        <v>30758789</v>
      </c>
      <c r="E25" s="19">
        <v>31335618</v>
      </c>
      <c r="F25" s="19">
        <v>35035817</v>
      </c>
      <c r="G25" s="19">
        <v>383410</v>
      </c>
      <c r="H25" s="4">
        <f t="shared" si="3"/>
        <v>33453761.700000003</v>
      </c>
      <c r="I25" s="19">
        <v>2737</v>
      </c>
      <c r="J25" s="19">
        <v>6502</v>
      </c>
      <c r="K25" s="19">
        <v>4738</v>
      </c>
      <c r="L25" s="19">
        <v>30303</v>
      </c>
      <c r="M25" s="19">
        <v>14083</v>
      </c>
      <c r="N25" s="19">
        <f t="shared" si="4"/>
        <v>53625</v>
      </c>
      <c r="O25" s="23">
        <v>1</v>
      </c>
      <c r="P25" s="19">
        <v>1240</v>
      </c>
      <c r="Q25" s="19">
        <v>82</v>
      </c>
      <c r="R25" s="19">
        <v>508.69999999999993</v>
      </c>
      <c r="S25" s="3">
        <f t="shared" si="5"/>
        <v>51378247.466987029</v>
      </c>
      <c r="T25" s="19">
        <v>16088183</v>
      </c>
      <c r="U25" s="15">
        <f t="shared" si="0"/>
        <v>16132037</v>
      </c>
      <c r="V25" s="15">
        <v>0</v>
      </c>
      <c r="W25" s="15">
        <f t="shared" si="1"/>
        <v>16132037</v>
      </c>
      <c r="X25" s="18"/>
      <c r="Y25" s="76"/>
      <c r="Z25" s="18"/>
      <c r="AA25" s="19">
        <v>0</v>
      </c>
      <c r="AB25" s="19">
        <f t="shared" si="2"/>
        <v>0</v>
      </c>
      <c r="AC25" s="19"/>
      <c r="AD25" s="19">
        <f t="shared" si="6"/>
        <v>0</v>
      </c>
      <c r="AE25" s="19">
        <f t="shared" si="7"/>
        <v>16132037</v>
      </c>
      <c r="AF25" s="19">
        <v>16088183</v>
      </c>
      <c r="AG25" s="19">
        <f t="shared" si="8"/>
        <v>43854</v>
      </c>
      <c r="AH25" s="114"/>
      <c r="AJ25" s="80"/>
      <c r="AK25" s="80"/>
      <c r="AN25" s="80"/>
      <c r="AO25" s="80"/>
    </row>
    <row r="26" spans="1:41" x14ac:dyDescent="0.25">
      <c r="A26" s="6" t="s">
        <v>58</v>
      </c>
      <c r="B26" s="5" t="s">
        <v>62</v>
      </c>
      <c r="C26" s="5" t="s">
        <v>62</v>
      </c>
      <c r="D26" s="19">
        <v>2977501</v>
      </c>
      <c r="E26" s="19">
        <v>3091304</v>
      </c>
      <c r="F26" s="19">
        <v>3456566</v>
      </c>
      <c r="G26" s="19">
        <v>297550</v>
      </c>
      <c r="H26" s="4">
        <f t="shared" si="3"/>
        <v>3548724.4</v>
      </c>
      <c r="I26" s="19">
        <v>218</v>
      </c>
      <c r="J26" s="19">
        <v>537</v>
      </c>
      <c r="K26" s="19">
        <v>398</v>
      </c>
      <c r="L26" s="19">
        <v>2763</v>
      </c>
      <c r="M26" s="19">
        <v>1255</v>
      </c>
      <c r="N26" s="19">
        <f t="shared" si="4"/>
        <v>4773</v>
      </c>
      <c r="O26" s="23">
        <v>1.87</v>
      </c>
      <c r="P26" s="19">
        <v>106</v>
      </c>
      <c r="Q26" s="19">
        <v>2</v>
      </c>
      <c r="R26" s="19">
        <v>37</v>
      </c>
      <c r="S26" s="3">
        <f t="shared" si="5"/>
        <v>4949280.4402965261</v>
      </c>
      <c r="T26" s="19">
        <v>1149739</v>
      </c>
      <c r="U26" s="15">
        <f t="shared" si="0"/>
        <v>1260500</v>
      </c>
      <c r="V26" s="15">
        <v>0</v>
      </c>
      <c r="W26" s="15">
        <f t="shared" si="1"/>
        <v>1260500</v>
      </c>
      <c r="X26" s="18"/>
      <c r="Y26" s="76"/>
      <c r="Z26" s="18"/>
      <c r="AA26" s="19">
        <v>0</v>
      </c>
      <c r="AB26" s="19">
        <f t="shared" si="2"/>
        <v>0</v>
      </c>
      <c r="AC26" s="19">
        <v>3</v>
      </c>
      <c r="AD26" s="19">
        <f t="shared" si="6"/>
        <v>17187.229945513758</v>
      </c>
      <c r="AE26" s="19">
        <f t="shared" si="7"/>
        <v>1277687</v>
      </c>
      <c r="AF26" s="19">
        <v>1166081</v>
      </c>
      <c r="AG26" s="19">
        <f t="shared" si="8"/>
        <v>111606</v>
      </c>
      <c r="AH26" s="114"/>
      <c r="AJ26" s="80"/>
      <c r="AK26" s="80"/>
      <c r="AN26" s="80"/>
      <c r="AO26" s="80"/>
    </row>
    <row r="27" spans="1:41" x14ac:dyDescent="0.25">
      <c r="A27" s="6" t="s">
        <v>58</v>
      </c>
      <c r="B27" s="5" t="s">
        <v>61</v>
      </c>
      <c r="C27" s="5" t="s">
        <v>61</v>
      </c>
      <c r="D27" s="19">
        <v>8004280</v>
      </c>
      <c r="E27" s="19">
        <v>8138905</v>
      </c>
      <c r="F27" s="19">
        <v>8609979</v>
      </c>
      <c r="G27" s="19">
        <v>111959</v>
      </c>
      <c r="H27" s="4">
        <f t="shared" si="3"/>
        <v>8459476</v>
      </c>
      <c r="I27" s="19">
        <v>533</v>
      </c>
      <c r="J27" s="19">
        <v>1327</v>
      </c>
      <c r="K27" s="19">
        <v>956</v>
      </c>
      <c r="L27" s="19">
        <v>6821</v>
      </c>
      <c r="M27" s="19">
        <v>3476</v>
      </c>
      <c r="N27" s="19">
        <f t="shared" si="4"/>
        <v>12157</v>
      </c>
      <c r="O27" s="23">
        <v>1</v>
      </c>
      <c r="P27" s="19">
        <v>183</v>
      </c>
      <c r="Q27" s="19">
        <v>0</v>
      </c>
      <c r="R27" s="19">
        <v>253.29999999999998</v>
      </c>
      <c r="S27" s="3">
        <f t="shared" si="5"/>
        <v>11103087.10895828</v>
      </c>
      <c r="T27" s="19">
        <v>2155855</v>
      </c>
      <c r="U27" s="15">
        <f t="shared" si="0"/>
        <v>2379250</v>
      </c>
      <c r="V27" s="15">
        <v>0</v>
      </c>
      <c r="W27" s="15">
        <f t="shared" si="1"/>
        <v>2379250</v>
      </c>
      <c r="X27" s="18"/>
      <c r="Y27" s="76"/>
      <c r="Z27" s="18"/>
      <c r="AA27" s="19">
        <v>0</v>
      </c>
      <c r="AB27" s="19">
        <f t="shared" si="2"/>
        <v>0</v>
      </c>
      <c r="AC27" s="19"/>
      <c r="AD27" s="19">
        <f t="shared" si="6"/>
        <v>0</v>
      </c>
      <c r="AE27" s="19">
        <f t="shared" si="7"/>
        <v>2379250</v>
      </c>
      <c r="AF27" s="19">
        <v>2155855</v>
      </c>
      <c r="AG27" s="19">
        <f t="shared" si="8"/>
        <v>223395</v>
      </c>
      <c r="AH27" s="114"/>
      <c r="AJ27" s="80"/>
      <c r="AK27" s="80"/>
      <c r="AN27" s="80"/>
      <c r="AO27" s="80"/>
    </row>
    <row r="28" spans="1:41" x14ac:dyDescent="0.25">
      <c r="A28" s="6" t="s">
        <v>58</v>
      </c>
      <c r="B28" s="5" t="s">
        <v>64</v>
      </c>
      <c r="C28" s="5" t="s">
        <v>671</v>
      </c>
      <c r="D28" s="19">
        <v>4348293</v>
      </c>
      <c r="E28" s="19">
        <v>4483232</v>
      </c>
      <c r="F28" s="19">
        <v>4857361</v>
      </c>
      <c r="G28" s="19">
        <v>147384</v>
      </c>
      <c r="H28" s="4">
        <f t="shared" si="3"/>
        <v>4790692.7</v>
      </c>
      <c r="I28" s="19">
        <v>250</v>
      </c>
      <c r="J28" s="19">
        <v>623</v>
      </c>
      <c r="K28" s="19">
        <v>464</v>
      </c>
      <c r="L28" s="19">
        <v>2643</v>
      </c>
      <c r="M28" s="19">
        <v>1083</v>
      </c>
      <c r="N28" s="19">
        <f t="shared" si="4"/>
        <v>4599</v>
      </c>
      <c r="O28" s="23">
        <v>1.88</v>
      </c>
      <c r="P28" s="19">
        <v>59</v>
      </c>
      <c r="Q28" s="19">
        <v>1</v>
      </c>
      <c r="R28" s="19">
        <v>102.89999999999999</v>
      </c>
      <c r="S28" s="3">
        <f t="shared" si="5"/>
        <v>4973259.033388447</v>
      </c>
      <c r="T28" s="19">
        <v>244040</v>
      </c>
      <c r="U28" s="15">
        <f t="shared" si="0"/>
        <v>164310</v>
      </c>
      <c r="V28" s="15">
        <v>86338</v>
      </c>
      <c r="W28" s="15">
        <f t="shared" si="1"/>
        <v>250648</v>
      </c>
      <c r="X28" s="18"/>
      <c r="Y28" s="76"/>
      <c r="Z28" s="18"/>
      <c r="AA28" s="19">
        <v>0</v>
      </c>
      <c r="AB28" s="19">
        <f t="shared" si="2"/>
        <v>0</v>
      </c>
      <c r="AC28" s="19"/>
      <c r="AD28" s="19">
        <f t="shared" si="6"/>
        <v>0</v>
      </c>
      <c r="AE28" s="19">
        <f t="shared" si="7"/>
        <v>250648</v>
      </c>
      <c r="AF28" s="19">
        <v>330378</v>
      </c>
      <c r="AG28" s="19">
        <f t="shared" si="8"/>
        <v>-79730</v>
      </c>
      <c r="AH28" s="114"/>
      <c r="AJ28" s="80"/>
      <c r="AK28" s="80"/>
      <c r="AN28" s="80"/>
      <c r="AO28" s="80"/>
    </row>
    <row r="29" spans="1:41" x14ac:dyDescent="0.25">
      <c r="A29" s="6" t="s">
        <v>55</v>
      </c>
      <c r="B29" s="5" t="s">
        <v>409</v>
      </c>
      <c r="C29" s="5" t="s">
        <v>55</v>
      </c>
      <c r="D29" s="19">
        <v>10298832</v>
      </c>
      <c r="E29" s="19">
        <v>10884287</v>
      </c>
      <c r="F29" s="19">
        <v>11972035</v>
      </c>
      <c r="G29" s="19">
        <v>513237</v>
      </c>
      <c r="H29" s="4">
        <f t="shared" si="3"/>
        <v>11824307</v>
      </c>
      <c r="I29" s="19">
        <v>896</v>
      </c>
      <c r="J29" s="19">
        <v>1642</v>
      </c>
      <c r="K29" s="19">
        <v>1222</v>
      </c>
      <c r="L29" s="19">
        <v>7374</v>
      </c>
      <c r="M29" s="19">
        <v>3215</v>
      </c>
      <c r="N29" s="19">
        <f t="shared" si="4"/>
        <v>13127</v>
      </c>
      <c r="O29" s="23">
        <v>1.55</v>
      </c>
      <c r="P29" s="19">
        <v>51</v>
      </c>
      <c r="Q29" s="19">
        <v>44</v>
      </c>
      <c r="R29" s="19">
        <v>534.29999999999995</v>
      </c>
      <c r="S29" s="3">
        <f t="shared" si="5"/>
        <v>13784721.535840679</v>
      </c>
      <c r="T29" s="19">
        <v>1987203</v>
      </c>
      <c r="U29" s="15">
        <f t="shared" si="0"/>
        <v>1764373</v>
      </c>
      <c r="V29" s="15">
        <v>0</v>
      </c>
      <c r="W29" s="15">
        <f t="shared" si="1"/>
        <v>1764373</v>
      </c>
      <c r="X29" s="18"/>
      <c r="Y29" s="76"/>
      <c r="Z29" s="18"/>
      <c r="AA29" s="19">
        <v>0</v>
      </c>
      <c r="AB29" s="19">
        <f t="shared" si="2"/>
        <v>0</v>
      </c>
      <c r="AC29" s="19"/>
      <c r="AD29" s="19">
        <f t="shared" si="6"/>
        <v>0</v>
      </c>
      <c r="AE29" s="19">
        <f t="shared" si="7"/>
        <v>1764373</v>
      </c>
      <c r="AF29" s="19">
        <v>1987203</v>
      </c>
      <c r="AG29" s="19">
        <f t="shared" si="8"/>
        <v>-222830</v>
      </c>
      <c r="AH29" s="114"/>
      <c r="AJ29" s="80"/>
      <c r="AK29" s="80"/>
      <c r="AN29" s="80"/>
      <c r="AO29" s="80"/>
    </row>
    <row r="30" spans="1:41" x14ac:dyDescent="0.25">
      <c r="A30" s="6" t="s">
        <v>55</v>
      </c>
      <c r="B30" s="5" t="s">
        <v>593</v>
      </c>
      <c r="C30" s="5" t="s">
        <v>54</v>
      </c>
      <c r="D30" s="19">
        <v>3413447</v>
      </c>
      <c r="E30" s="19">
        <v>3508016</v>
      </c>
      <c r="F30" s="19">
        <v>3915937</v>
      </c>
      <c r="G30" s="19">
        <v>312506</v>
      </c>
      <c r="H30" s="4">
        <f t="shared" si="3"/>
        <v>4005568.7</v>
      </c>
      <c r="I30" s="19">
        <v>247</v>
      </c>
      <c r="J30" s="19">
        <v>543</v>
      </c>
      <c r="K30" s="19">
        <v>393</v>
      </c>
      <c r="L30" s="19">
        <v>3082</v>
      </c>
      <c r="M30" s="19">
        <v>1419</v>
      </c>
      <c r="N30" s="19">
        <f t="shared" si="4"/>
        <v>5291</v>
      </c>
      <c r="O30" s="23">
        <v>1.85</v>
      </c>
      <c r="P30" s="19">
        <v>61</v>
      </c>
      <c r="Q30" s="19">
        <v>9</v>
      </c>
      <c r="R30" s="19">
        <v>327.9</v>
      </c>
      <c r="S30" s="3">
        <f t="shared" si="5"/>
        <v>5255717.5773067502</v>
      </c>
      <c r="T30" s="19">
        <v>1099514</v>
      </c>
      <c r="U30" s="15">
        <f t="shared" si="0"/>
        <v>1125134</v>
      </c>
      <c r="V30" s="15">
        <v>0</v>
      </c>
      <c r="W30" s="15">
        <f t="shared" si="1"/>
        <v>1125134</v>
      </c>
      <c r="X30" s="18"/>
      <c r="Y30" s="76"/>
      <c r="Z30" s="18"/>
      <c r="AA30" s="19">
        <v>0</v>
      </c>
      <c r="AB30" s="19">
        <f t="shared" si="2"/>
        <v>0</v>
      </c>
      <c r="AC30" s="19"/>
      <c r="AD30" s="19">
        <f t="shared" si="6"/>
        <v>0</v>
      </c>
      <c r="AE30" s="19">
        <f t="shared" si="7"/>
        <v>1125134</v>
      </c>
      <c r="AF30" s="19">
        <v>1099514</v>
      </c>
      <c r="AG30" s="19">
        <f t="shared" si="8"/>
        <v>25620</v>
      </c>
      <c r="AH30" s="114"/>
      <c r="AJ30" s="80"/>
      <c r="AK30" s="80"/>
      <c r="AN30" s="80"/>
      <c r="AO30" s="80"/>
    </row>
    <row r="31" spans="1:41" x14ac:dyDescent="0.25">
      <c r="A31" s="6" t="s">
        <v>55</v>
      </c>
      <c r="B31" s="5" t="s">
        <v>397</v>
      </c>
      <c r="C31" s="5" t="s">
        <v>56</v>
      </c>
      <c r="D31" s="19">
        <v>7499058</v>
      </c>
      <c r="E31" s="19">
        <v>8014920</v>
      </c>
      <c r="F31" s="19">
        <v>8677042</v>
      </c>
      <c r="G31" s="19">
        <v>417283</v>
      </c>
      <c r="H31" s="4">
        <f t="shared" si="3"/>
        <v>8660091.5999999996</v>
      </c>
      <c r="I31" s="19">
        <v>625</v>
      </c>
      <c r="J31" s="19">
        <v>1111</v>
      </c>
      <c r="K31" s="19">
        <v>867</v>
      </c>
      <c r="L31" s="19">
        <v>5329</v>
      </c>
      <c r="M31" s="19">
        <v>2419</v>
      </c>
      <c r="N31" s="19">
        <f t="shared" si="4"/>
        <v>9484</v>
      </c>
      <c r="O31" s="23">
        <v>1.61</v>
      </c>
      <c r="P31" s="19">
        <v>131</v>
      </c>
      <c r="Q31" s="19">
        <v>3</v>
      </c>
      <c r="R31" s="19">
        <v>498.90000000000003</v>
      </c>
      <c r="S31" s="3">
        <f t="shared" si="5"/>
        <v>10136636.026620129</v>
      </c>
      <c r="T31" s="19">
        <v>1222045</v>
      </c>
      <c r="U31" s="15">
        <f t="shared" si="0"/>
        <v>1328890</v>
      </c>
      <c r="V31" s="15">
        <v>19211.770079573616</v>
      </c>
      <c r="W31" s="15">
        <f t="shared" si="1"/>
        <v>1348101.7700795736</v>
      </c>
      <c r="X31" s="18"/>
      <c r="Y31" s="76"/>
      <c r="Z31" s="18"/>
      <c r="AA31" s="19">
        <v>177296</v>
      </c>
      <c r="AB31" s="19">
        <f t="shared" si="2"/>
        <v>137936</v>
      </c>
      <c r="AC31" s="19"/>
      <c r="AD31" s="19">
        <f t="shared" si="6"/>
        <v>0</v>
      </c>
      <c r="AE31" s="19">
        <f t="shared" si="7"/>
        <v>1486038</v>
      </c>
      <c r="AF31" s="19">
        <v>1418553</v>
      </c>
      <c r="AG31" s="19">
        <f t="shared" si="8"/>
        <v>67485</v>
      </c>
      <c r="AH31" s="114"/>
      <c r="AJ31" s="80"/>
      <c r="AK31" s="80"/>
      <c r="AN31" s="80"/>
      <c r="AO31" s="80"/>
    </row>
    <row r="32" spans="1:41" x14ac:dyDescent="0.25">
      <c r="A32" s="6" t="s">
        <v>52</v>
      </c>
      <c r="B32" s="5" t="s">
        <v>594</v>
      </c>
      <c r="C32" s="5" t="s">
        <v>52</v>
      </c>
      <c r="D32" s="19">
        <v>7228378</v>
      </c>
      <c r="E32" s="19">
        <v>7630830</v>
      </c>
      <c r="F32" s="19">
        <v>8311468</v>
      </c>
      <c r="G32" s="19">
        <v>620744</v>
      </c>
      <c r="H32" s="4">
        <f t="shared" si="3"/>
        <v>8511402.5999999996</v>
      </c>
      <c r="I32" s="19">
        <v>683</v>
      </c>
      <c r="J32" s="19">
        <v>1221</v>
      </c>
      <c r="K32" s="19">
        <v>914</v>
      </c>
      <c r="L32" s="19">
        <v>4975</v>
      </c>
      <c r="M32" s="19">
        <v>1989</v>
      </c>
      <c r="N32" s="19">
        <f t="shared" si="4"/>
        <v>8868</v>
      </c>
      <c r="O32" s="23">
        <v>2</v>
      </c>
      <c r="P32" s="19">
        <v>128</v>
      </c>
      <c r="Q32" s="19">
        <v>4</v>
      </c>
      <c r="R32" s="19">
        <v>147.19999999999999</v>
      </c>
      <c r="S32" s="3">
        <f t="shared" si="5"/>
        <v>10418729.075183721</v>
      </c>
      <c r="T32" s="19">
        <v>1578616</v>
      </c>
      <c r="U32" s="15">
        <f t="shared" si="0"/>
        <v>1716594</v>
      </c>
      <c r="V32" s="15">
        <v>12817</v>
      </c>
      <c r="W32" s="15">
        <f t="shared" si="1"/>
        <v>1729411</v>
      </c>
      <c r="X32" s="18"/>
      <c r="Y32" s="76"/>
      <c r="Z32" s="18"/>
      <c r="AA32" s="19">
        <v>31414</v>
      </c>
      <c r="AB32" s="19">
        <f t="shared" si="2"/>
        <v>24440</v>
      </c>
      <c r="AC32" s="19">
        <v>3</v>
      </c>
      <c r="AD32" s="19">
        <f t="shared" si="6"/>
        <v>17187.229945513758</v>
      </c>
      <c r="AE32" s="19">
        <f t="shared" si="7"/>
        <v>1771038</v>
      </c>
      <c r="AF32" s="19">
        <v>1639189</v>
      </c>
      <c r="AG32" s="19">
        <f t="shared" si="8"/>
        <v>131849</v>
      </c>
      <c r="AH32" s="114"/>
      <c r="AJ32" s="80"/>
      <c r="AK32" s="80"/>
      <c r="AN32" s="80"/>
      <c r="AO32" s="80"/>
    </row>
    <row r="33" spans="1:41" x14ac:dyDescent="0.25">
      <c r="A33" s="6" t="s">
        <v>52</v>
      </c>
      <c r="B33" s="5" t="s">
        <v>51</v>
      </c>
      <c r="C33" s="5" t="s">
        <v>51</v>
      </c>
      <c r="D33" s="19">
        <v>9119305</v>
      </c>
      <c r="E33" s="19">
        <v>9556093</v>
      </c>
      <c r="F33" s="19">
        <v>10359413</v>
      </c>
      <c r="G33" s="19">
        <v>297429</v>
      </c>
      <c r="H33" s="4">
        <f t="shared" si="3"/>
        <v>10167824.4</v>
      </c>
      <c r="I33" s="19">
        <v>665</v>
      </c>
      <c r="J33" s="19">
        <v>1379</v>
      </c>
      <c r="K33" s="19">
        <v>1033</v>
      </c>
      <c r="L33" s="19">
        <v>5751</v>
      </c>
      <c r="M33" s="19">
        <v>2494</v>
      </c>
      <c r="N33" s="19">
        <f t="shared" si="4"/>
        <v>10289</v>
      </c>
      <c r="O33" s="23">
        <v>1.21</v>
      </c>
      <c r="P33" s="19">
        <v>40</v>
      </c>
      <c r="Q33" s="19">
        <v>3</v>
      </c>
      <c r="R33" s="19">
        <v>205.29999999999998</v>
      </c>
      <c r="S33" s="3">
        <f t="shared" si="5"/>
        <v>10397557.755679877</v>
      </c>
      <c r="T33" s="19">
        <v>140093</v>
      </c>
      <c r="U33" s="15">
        <f t="shared" si="0"/>
        <v>206760</v>
      </c>
      <c r="V33" s="15">
        <v>0</v>
      </c>
      <c r="W33" s="15">
        <f t="shared" si="1"/>
        <v>206760</v>
      </c>
      <c r="X33" s="18"/>
      <c r="Y33" s="76"/>
      <c r="Z33" s="18"/>
      <c r="AA33" s="19">
        <v>1061</v>
      </c>
      <c r="AB33" s="19">
        <f t="shared" si="2"/>
        <v>825</v>
      </c>
      <c r="AC33" s="19"/>
      <c r="AD33" s="19">
        <f t="shared" si="6"/>
        <v>0</v>
      </c>
      <c r="AE33" s="19">
        <f t="shared" si="7"/>
        <v>207585</v>
      </c>
      <c r="AF33" s="19">
        <v>141154</v>
      </c>
      <c r="AG33" s="19">
        <f t="shared" si="8"/>
        <v>66431</v>
      </c>
      <c r="AH33" s="114"/>
      <c r="AJ33" s="80"/>
      <c r="AK33" s="80"/>
      <c r="AN33" s="80"/>
      <c r="AO33" s="80"/>
    </row>
    <row r="34" spans="1:41" x14ac:dyDescent="0.25">
      <c r="A34" s="6" t="s">
        <v>52</v>
      </c>
      <c r="B34" s="5" t="s">
        <v>370</v>
      </c>
      <c r="C34" s="5" t="s">
        <v>53</v>
      </c>
      <c r="D34" s="19">
        <v>8529949</v>
      </c>
      <c r="E34" s="19">
        <v>9040551</v>
      </c>
      <c r="F34" s="19">
        <v>10004321</v>
      </c>
      <c r="G34" s="19">
        <v>533916</v>
      </c>
      <c r="H34" s="4">
        <f t="shared" si="3"/>
        <v>9954231.5999999996</v>
      </c>
      <c r="I34" s="19">
        <v>719</v>
      </c>
      <c r="J34" s="19">
        <v>1312</v>
      </c>
      <c r="K34" s="19">
        <v>998</v>
      </c>
      <c r="L34" s="19">
        <v>5946</v>
      </c>
      <c r="M34" s="19">
        <v>2684</v>
      </c>
      <c r="N34" s="19">
        <f t="shared" si="4"/>
        <v>10661</v>
      </c>
      <c r="O34" s="23">
        <v>1.39</v>
      </c>
      <c r="P34" s="19">
        <v>123</v>
      </c>
      <c r="Q34" s="19">
        <v>7</v>
      </c>
      <c r="R34" s="19">
        <v>284.89999999999998</v>
      </c>
      <c r="S34" s="3">
        <f t="shared" si="5"/>
        <v>11139140.552333254</v>
      </c>
      <c r="T34" s="19">
        <v>1108933</v>
      </c>
      <c r="U34" s="15">
        <f t="shared" si="0"/>
        <v>1066418</v>
      </c>
      <c r="V34" s="15">
        <v>0</v>
      </c>
      <c r="W34" s="15">
        <f t="shared" si="1"/>
        <v>1066418</v>
      </c>
      <c r="X34" s="18"/>
      <c r="Y34" s="76"/>
      <c r="Z34" s="18"/>
      <c r="AA34" s="19">
        <v>4359</v>
      </c>
      <c r="AB34" s="19">
        <f t="shared" si="2"/>
        <v>3391</v>
      </c>
      <c r="AC34" s="19"/>
      <c r="AD34" s="19">
        <f t="shared" si="6"/>
        <v>0</v>
      </c>
      <c r="AE34" s="19">
        <f t="shared" si="7"/>
        <v>1069809</v>
      </c>
      <c r="AF34" s="19">
        <v>1113292</v>
      </c>
      <c r="AG34" s="19">
        <f t="shared" si="8"/>
        <v>-43483</v>
      </c>
      <c r="AH34" s="114"/>
      <c r="AJ34" s="80"/>
      <c r="AK34" s="80"/>
      <c r="AN34" s="80"/>
      <c r="AO34" s="80"/>
    </row>
    <row r="35" spans="1:41" x14ac:dyDescent="0.25">
      <c r="A35" s="6" t="s">
        <v>47</v>
      </c>
      <c r="B35" s="5" t="s">
        <v>48</v>
      </c>
      <c r="C35" s="5" t="s">
        <v>48</v>
      </c>
      <c r="D35" s="19">
        <v>10505914</v>
      </c>
      <c r="E35" s="19">
        <v>10872528</v>
      </c>
      <c r="F35" s="19">
        <v>12003630</v>
      </c>
      <c r="G35" s="19">
        <v>399046</v>
      </c>
      <c r="H35" s="4">
        <f t="shared" si="3"/>
        <v>11763802.199999999</v>
      </c>
      <c r="I35" s="19">
        <v>869</v>
      </c>
      <c r="J35" s="19">
        <v>1778</v>
      </c>
      <c r="K35" s="19">
        <v>1343</v>
      </c>
      <c r="L35" s="19">
        <v>7077</v>
      </c>
      <c r="M35" s="19">
        <v>3382</v>
      </c>
      <c r="N35" s="19">
        <f t="shared" si="4"/>
        <v>13106</v>
      </c>
      <c r="O35" s="23">
        <v>1.1499999999999999</v>
      </c>
      <c r="P35" s="19">
        <v>16</v>
      </c>
      <c r="Q35" s="19">
        <v>2</v>
      </c>
      <c r="R35" s="19">
        <v>205.3</v>
      </c>
      <c r="S35" s="3">
        <f t="shared" si="5"/>
        <v>13246967.009485243</v>
      </c>
      <c r="T35" s="19">
        <v>1122826</v>
      </c>
      <c r="U35" s="15">
        <f t="shared" si="0"/>
        <v>1334848</v>
      </c>
      <c r="V35" s="15">
        <v>0</v>
      </c>
      <c r="W35" s="15">
        <f t="shared" si="1"/>
        <v>1334848</v>
      </c>
      <c r="X35" s="18"/>
      <c r="Y35" s="76"/>
      <c r="Z35" s="18"/>
      <c r="AA35" s="19">
        <v>2290</v>
      </c>
      <c r="AB35" s="19">
        <f t="shared" si="2"/>
        <v>1782</v>
      </c>
      <c r="AC35" s="19"/>
      <c r="AD35" s="19">
        <f t="shared" si="6"/>
        <v>0</v>
      </c>
      <c r="AE35" s="19">
        <f t="shared" si="7"/>
        <v>1336630</v>
      </c>
      <c r="AF35" s="19">
        <v>1125116</v>
      </c>
      <c r="AG35" s="19">
        <f t="shared" si="8"/>
        <v>211514</v>
      </c>
      <c r="AH35" s="114"/>
      <c r="AJ35" s="80"/>
      <c r="AK35" s="80"/>
      <c r="AN35" s="80"/>
      <c r="AO35" s="80"/>
    </row>
    <row r="36" spans="1:41" x14ac:dyDescent="0.25">
      <c r="A36" s="6" t="s">
        <v>47</v>
      </c>
      <c r="B36" s="5" t="s">
        <v>353</v>
      </c>
      <c r="C36" s="5" t="s">
        <v>50</v>
      </c>
      <c r="D36" s="19">
        <v>5764037</v>
      </c>
      <c r="E36" s="19">
        <v>6105510</v>
      </c>
      <c r="F36" s="19">
        <v>6783856</v>
      </c>
      <c r="G36" s="19">
        <v>538628</v>
      </c>
      <c r="H36" s="4">
        <f t="shared" si="3"/>
        <v>6915016.4000000004</v>
      </c>
      <c r="I36" s="19">
        <v>519</v>
      </c>
      <c r="J36" s="19">
        <v>940</v>
      </c>
      <c r="K36" s="19">
        <v>719</v>
      </c>
      <c r="L36" s="19">
        <v>4169</v>
      </c>
      <c r="M36" s="19">
        <v>1641</v>
      </c>
      <c r="N36" s="19">
        <f t="shared" si="4"/>
        <v>7269</v>
      </c>
      <c r="O36" s="23">
        <v>2.0299999999999998</v>
      </c>
      <c r="P36" s="19">
        <v>34</v>
      </c>
      <c r="Q36" s="19">
        <v>0</v>
      </c>
      <c r="R36" s="19">
        <v>180.7</v>
      </c>
      <c r="S36" s="3">
        <f t="shared" si="5"/>
        <v>8172171.6653919574</v>
      </c>
      <c r="T36" s="19">
        <v>939479</v>
      </c>
      <c r="U36" s="15">
        <f t="shared" ref="U36:U67" si="9">IF(ROUND(IF((S36-H36)&lt;0,0,S36-H36)*U$84,0)-T36&lt;-S36*0.02,T36-S36*0.02,ROUND(IF((S36-H36)&lt;0,0,S36-H36)*U$84,0))</f>
        <v>1131440</v>
      </c>
      <c r="V36" s="15">
        <v>111670.24637296377</v>
      </c>
      <c r="W36" s="15">
        <f t="shared" ref="W36:W67" si="10">U36+V36</f>
        <v>1243110.2463729638</v>
      </c>
      <c r="X36" s="19"/>
      <c r="Y36" s="76"/>
      <c r="Z36" s="15"/>
      <c r="AA36" s="19">
        <v>0</v>
      </c>
      <c r="AB36" s="19">
        <f t="shared" ref="AB36:AB67" si="11">ROUND(AA36*AB$84,0)</f>
        <v>0</v>
      </c>
      <c r="AC36" s="19">
        <v>5</v>
      </c>
      <c r="AD36" s="19">
        <f t="shared" si="6"/>
        <v>28645.38324252293</v>
      </c>
      <c r="AE36" s="19">
        <f t="shared" si="7"/>
        <v>1271756</v>
      </c>
      <c r="AF36" s="19">
        <v>1099444</v>
      </c>
      <c r="AG36" s="19">
        <f t="shared" si="8"/>
        <v>172312</v>
      </c>
      <c r="AH36" s="114"/>
      <c r="AJ36" s="80"/>
      <c r="AK36" s="80"/>
      <c r="AN36" s="80"/>
      <c r="AO36" s="80"/>
    </row>
    <row r="37" spans="1:41" x14ac:dyDescent="0.25">
      <c r="A37" s="6" t="s">
        <v>47</v>
      </c>
      <c r="B37" s="5" t="s">
        <v>349</v>
      </c>
      <c r="C37" s="5" t="s">
        <v>46</v>
      </c>
      <c r="D37" s="19">
        <v>459148</v>
      </c>
      <c r="E37" s="19">
        <v>491352</v>
      </c>
      <c r="F37" s="19">
        <v>588104</v>
      </c>
      <c r="G37" s="19">
        <v>57854</v>
      </c>
      <c r="H37" s="4">
        <f t="shared" si="3"/>
        <v>591141.19999999995</v>
      </c>
      <c r="I37" s="19">
        <v>13</v>
      </c>
      <c r="J37" s="19">
        <v>32</v>
      </c>
      <c r="K37" s="19">
        <v>28</v>
      </c>
      <c r="L37" s="19">
        <v>305</v>
      </c>
      <c r="M37" s="19">
        <v>102</v>
      </c>
      <c r="N37" s="19">
        <f t="shared" si="4"/>
        <v>452</v>
      </c>
      <c r="O37" s="23">
        <v>1.6</v>
      </c>
      <c r="P37" s="19">
        <v>1</v>
      </c>
      <c r="Q37" s="19">
        <v>1</v>
      </c>
      <c r="R37" s="19">
        <v>10.5</v>
      </c>
      <c r="S37" s="3">
        <f t="shared" si="5"/>
        <v>385309.03199804615</v>
      </c>
      <c r="T37" s="19">
        <v>0</v>
      </c>
      <c r="U37" s="15">
        <f t="shared" si="9"/>
        <v>0</v>
      </c>
      <c r="V37" s="15">
        <v>0</v>
      </c>
      <c r="W37" s="15">
        <f t="shared" si="10"/>
        <v>0</v>
      </c>
      <c r="X37" s="19">
        <f>SUMIF(V$92:V$108,C37,X$92:X$108)</f>
        <v>452</v>
      </c>
      <c r="Y37" s="76">
        <f>SUMIF(V$92:V$108,C37,Y$92:Y$108)</f>
        <v>9.9</v>
      </c>
      <c r="Z37" s="15">
        <f>ROUND((X37*L$97+Y37*L$98),0)+SUMIF(V$92:V$108,C37,Z$92:Z$108)</f>
        <v>125547.37236989931</v>
      </c>
      <c r="AA37" s="19">
        <v>0</v>
      </c>
      <c r="AB37" s="19">
        <f t="shared" si="11"/>
        <v>0</v>
      </c>
      <c r="AC37" s="19"/>
      <c r="AD37" s="19">
        <f t="shared" si="6"/>
        <v>0</v>
      </c>
      <c r="AE37" s="19">
        <f t="shared" si="7"/>
        <v>125547</v>
      </c>
      <c r="AF37" s="19">
        <v>117612</v>
      </c>
      <c r="AG37" s="19">
        <f t="shared" si="8"/>
        <v>7935</v>
      </c>
      <c r="AH37" s="114"/>
      <c r="AJ37" s="80"/>
      <c r="AK37" s="80"/>
      <c r="AN37" s="80"/>
      <c r="AO37" s="80"/>
    </row>
    <row r="38" spans="1:41" x14ac:dyDescent="0.25">
      <c r="A38" s="6" t="s">
        <v>38</v>
      </c>
      <c r="B38" s="5" t="s">
        <v>344</v>
      </c>
      <c r="C38" s="5" t="s">
        <v>43</v>
      </c>
      <c r="D38" s="19">
        <v>4083896</v>
      </c>
      <c r="E38" s="19">
        <v>4269132</v>
      </c>
      <c r="F38" s="19">
        <v>4794793</v>
      </c>
      <c r="G38" s="19">
        <v>334953</v>
      </c>
      <c r="H38" s="4">
        <f t="shared" si="3"/>
        <v>4829868.3</v>
      </c>
      <c r="I38" s="19">
        <v>278</v>
      </c>
      <c r="J38" s="19">
        <v>484</v>
      </c>
      <c r="K38" s="19">
        <v>365</v>
      </c>
      <c r="L38" s="19">
        <v>2576</v>
      </c>
      <c r="M38" s="19">
        <v>1039</v>
      </c>
      <c r="N38" s="19">
        <f t="shared" si="4"/>
        <v>4377</v>
      </c>
      <c r="O38" s="23">
        <v>1.97</v>
      </c>
      <c r="P38" s="19">
        <v>16</v>
      </c>
      <c r="Q38" s="19">
        <v>0</v>
      </c>
      <c r="R38" s="19">
        <v>59.699999999999996</v>
      </c>
      <c r="S38" s="3">
        <f t="shared" si="5"/>
        <v>4596540.0892402576</v>
      </c>
      <c r="T38" s="19">
        <v>0</v>
      </c>
      <c r="U38" s="15">
        <f t="shared" si="9"/>
        <v>0</v>
      </c>
      <c r="V38" s="15">
        <v>113652.05687707102</v>
      </c>
      <c r="W38" s="15">
        <f t="shared" si="10"/>
        <v>113652.05687707102</v>
      </c>
      <c r="X38" s="18"/>
      <c r="Y38" s="76"/>
      <c r="Z38" s="18"/>
      <c r="AA38" s="19">
        <v>0</v>
      </c>
      <c r="AB38" s="19">
        <f t="shared" si="11"/>
        <v>0</v>
      </c>
      <c r="AC38" s="19"/>
      <c r="AD38" s="19">
        <f t="shared" si="6"/>
        <v>0</v>
      </c>
      <c r="AE38" s="19">
        <f t="shared" si="7"/>
        <v>113652</v>
      </c>
      <c r="AF38" s="19">
        <v>113652</v>
      </c>
      <c r="AG38" s="19">
        <f t="shared" si="8"/>
        <v>0</v>
      </c>
      <c r="AH38" s="114"/>
      <c r="AJ38" s="80"/>
      <c r="AK38" s="80"/>
      <c r="AN38" s="80"/>
      <c r="AO38" s="80"/>
    </row>
    <row r="39" spans="1:41" x14ac:dyDescent="0.25">
      <c r="A39" s="6" t="s">
        <v>38</v>
      </c>
      <c r="B39" s="5" t="s">
        <v>342</v>
      </c>
      <c r="C39" s="5" t="s">
        <v>40</v>
      </c>
      <c r="D39" s="19">
        <v>4158776</v>
      </c>
      <c r="E39" s="19">
        <v>4422601</v>
      </c>
      <c r="F39" s="19">
        <v>4967036</v>
      </c>
      <c r="G39" s="19">
        <v>175642</v>
      </c>
      <c r="H39" s="4">
        <f t="shared" si="3"/>
        <v>4817695.5</v>
      </c>
      <c r="I39" s="19">
        <v>351</v>
      </c>
      <c r="J39" s="19">
        <v>701</v>
      </c>
      <c r="K39" s="19">
        <v>535</v>
      </c>
      <c r="L39" s="19">
        <v>2840</v>
      </c>
      <c r="M39" s="19">
        <v>951</v>
      </c>
      <c r="N39" s="19">
        <f t="shared" si="4"/>
        <v>4843</v>
      </c>
      <c r="O39" s="23">
        <v>1.54</v>
      </c>
      <c r="P39" s="19">
        <v>76</v>
      </c>
      <c r="Q39" s="19">
        <v>4</v>
      </c>
      <c r="R39" s="19">
        <v>30</v>
      </c>
      <c r="S39" s="3">
        <f t="shared" si="5"/>
        <v>5379736.1702289423</v>
      </c>
      <c r="T39" s="19">
        <v>570401</v>
      </c>
      <c r="U39" s="15">
        <f t="shared" si="9"/>
        <v>505837</v>
      </c>
      <c r="V39" s="15">
        <v>0</v>
      </c>
      <c r="W39" s="15">
        <f t="shared" si="10"/>
        <v>505837</v>
      </c>
      <c r="X39" s="18"/>
      <c r="Y39" s="76"/>
      <c r="Z39" s="18"/>
      <c r="AA39" s="19">
        <v>0</v>
      </c>
      <c r="AB39" s="19">
        <f t="shared" si="11"/>
        <v>0</v>
      </c>
      <c r="AC39" s="19"/>
      <c r="AD39" s="19">
        <f t="shared" si="6"/>
        <v>0</v>
      </c>
      <c r="AE39" s="19">
        <f t="shared" si="7"/>
        <v>505837</v>
      </c>
      <c r="AF39" s="19">
        <v>570401</v>
      </c>
      <c r="AG39" s="19">
        <f t="shared" si="8"/>
        <v>-64564</v>
      </c>
      <c r="AH39" s="114"/>
      <c r="AJ39" s="80"/>
      <c r="AK39" s="80"/>
      <c r="AN39" s="80"/>
      <c r="AO39" s="80"/>
    </row>
    <row r="40" spans="1:41" x14ac:dyDescent="0.25">
      <c r="A40" s="6" t="s">
        <v>38</v>
      </c>
      <c r="B40" s="5" t="s">
        <v>336</v>
      </c>
      <c r="C40" s="5" t="s">
        <v>44</v>
      </c>
      <c r="D40" s="19">
        <v>4654026</v>
      </c>
      <c r="E40" s="19">
        <v>5019888</v>
      </c>
      <c r="F40" s="19">
        <v>5440857</v>
      </c>
      <c r="G40" s="19">
        <v>197206</v>
      </c>
      <c r="H40" s="4">
        <f t="shared" si="3"/>
        <v>5354406.0999999996</v>
      </c>
      <c r="I40" s="19">
        <v>366</v>
      </c>
      <c r="J40" s="19">
        <v>843</v>
      </c>
      <c r="K40" s="19">
        <v>622</v>
      </c>
      <c r="L40" s="19">
        <v>3301</v>
      </c>
      <c r="M40" s="19">
        <v>1139</v>
      </c>
      <c r="N40" s="19">
        <f t="shared" si="4"/>
        <v>5649</v>
      </c>
      <c r="O40" s="23">
        <v>1.63</v>
      </c>
      <c r="P40" s="19">
        <v>14</v>
      </c>
      <c r="Q40" s="19">
        <v>4</v>
      </c>
      <c r="R40" s="19">
        <v>50.099999999999994</v>
      </c>
      <c r="S40" s="3">
        <f t="shared" si="5"/>
        <v>6050184.8858363898</v>
      </c>
      <c r="T40" s="19">
        <v>845205</v>
      </c>
      <c r="U40" s="15">
        <f t="shared" si="9"/>
        <v>724201.30228327215</v>
      </c>
      <c r="V40" s="15">
        <v>0</v>
      </c>
      <c r="W40" s="15">
        <f t="shared" si="10"/>
        <v>724201.30228327215</v>
      </c>
      <c r="X40" s="18"/>
      <c r="Y40" s="76"/>
      <c r="Z40" s="18"/>
      <c r="AA40" s="19">
        <v>0</v>
      </c>
      <c r="AB40" s="19">
        <f t="shared" si="11"/>
        <v>0</v>
      </c>
      <c r="AC40" s="19"/>
      <c r="AD40" s="19">
        <f t="shared" si="6"/>
        <v>0</v>
      </c>
      <c r="AE40" s="19">
        <f t="shared" si="7"/>
        <v>724201</v>
      </c>
      <c r="AF40" s="19">
        <v>845205</v>
      </c>
      <c r="AG40" s="19">
        <f t="shared" si="8"/>
        <v>-121004</v>
      </c>
      <c r="AH40" s="114"/>
      <c r="AJ40" s="80"/>
      <c r="AK40" s="80"/>
      <c r="AN40" s="80"/>
      <c r="AO40" s="80"/>
    </row>
    <row r="41" spans="1:41" x14ac:dyDescent="0.25">
      <c r="A41" s="6" t="s">
        <v>38</v>
      </c>
      <c r="B41" s="5" t="s">
        <v>37</v>
      </c>
      <c r="C41" s="5" t="s">
        <v>37</v>
      </c>
      <c r="D41" s="19">
        <v>12478637</v>
      </c>
      <c r="E41" s="19">
        <v>13313694</v>
      </c>
      <c r="F41" s="19">
        <v>14824705</v>
      </c>
      <c r="G41" s="19">
        <v>294362</v>
      </c>
      <c r="H41" s="4">
        <f t="shared" si="3"/>
        <v>14196550.1</v>
      </c>
      <c r="I41" s="19">
        <v>1207</v>
      </c>
      <c r="J41" s="19">
        <v>2229</v>
      </c>
      <c r="K41" s="19">
        <v>1704</v>
      </c>
      <c r="L41" s="19">
        <v>8417</v>
      </c>
      <c r="M41" s="19">
        <v>3281</v>
      </c>
      <c r="N41" s="19">
        <f t="shared" si="4"/>
        <v>15134</v>
      </c>
      <c r="O41" s="23">
        <v>1</v>
      </c>
      <c r="P41" s="19">
        <v>40</v>
      </c>
      <c r="Q41" s="19">
        <v>2</v>
      </c>
      <c r="R41" s="19">
        <v>129.10000000000002</v>
      </c>
      <c r="S41" s="3">
        <f t="shared" si="5"/>
        <v>15784749.790787671</v>
      </c>
      <c r="T41" s="19">
        <v>1421623</v>
      </c>
      <c r="U41" s="15">
        <f t="shared" si="9"/>
        <v>1429380</v>
      </c>
      <c r="V41" s="15">
        <v>0</v>
      </c>
      <c r="W41" s="15">
        <f t="shared" si="10"/>
        <v>1429380</v>
      </c>
      <c r="X41" s="18"/>
      <c r="Y41" s="76"/>
      <c r="Z41" s="18"/>
      <c r="AA41" s="19">
        <v>0</v>
      </c>
      <c r="AB41" s="19">
        <f t="shared" si="11"/>
        <v>0</v>
      </c>
      <c r="AC41" s="19"/>
      <c r="AD41" s="19">
        <f t="shared" si="6"/>
        <v>0</v>
      </c>
      <c r="AE41" s="19">
        <f t="shared" si="7"/>
        <v>1429380</v>
      </c>
      <c r="AF41" s="19">
        <v>1421623</v>
      </c>
      <c r="AG41" s="19">
        <f t="shared" si="8"/>
        <v>7757</v>
      </c>
      <c r="AH41" s="114"/>
      <c r="AJ41" s="80"/>
      <c r="AK41" s="80"/>
      <c r="AN41" s="80"/>
      <c r="AO41" s="80"/>
    </row>
    <row r="42" spans="1:41" x14ac:dyDescent="0.25">
      <c r="A42" s="6" t="s">
        <v>38</v>
      </c>
      <c r="B42" s="5" t="s">
        <v>328</v>
      </c>
      <c r="C42" s="5" t="s">
        <v>41</v>
      </c>
      <c r="D42" s="19">
        <v>7874048</v>
      </c>
      <c r="E42" s="19">
        <v>8265320</v>
      </c>
      <c r="F42" s="19">
        <v>9065728</v>
      </c>
      <c r="G42" s="19">
        <v>318967</v>
      </c>
      <c r="H42" s="4">
        <f t="shared" si="3"/>
        <v>8906236.5999999996</v>
      </c>
      <c r="I42" s="19">
        <v>728</v>
      </c>
      <c r="J42" s="19">
        <v>1408</v>
      </c>
      <c r="K42" s="19">
        <v>1061</v>
      </c>
      <c r="L42" s="19">
        <v>5874</v>
      </c>
      <c r="M42" s="19">
        <v>2616</v>
      </c>
      <c r="N42" s="19">
        <f t="shared" si="4"/>
        <v>10626</v>
      </c>
      <c r="O42" s="23">
        <v>1.31</v>
      </c>
      <c r="P42" s="19">
        <v>181</v>
      </c>
      <c r="Q42" s="19">
        <v>11</v>
      </c>
      <c r="R42" s="19">
        <v>117.39999999999999</v>
      </c>
      <c r="S42" s="3">
        <f t="shared" si="5"/>
        <v>11250992.2817392</v>
      </c>
      <c r="T42" s="19">
        <v>1933180</v>
      </c>
      <c r="U42" s="15">
        <f t="shared" si="9"/>
        <v>2110280</v>
      </c>
      <c r="V42" s="15">
        <v>0</v>
      </c>
      <c r="W42" s="15">
        <f t="shared" si="10"/>
        <v>2110280</v>
      </c>
      <c r="X42" s="18"/>
      <c r="Y42" s="76"/>
      <c r="Z42" s="18"/>
      <c r="AA42" s="19">
        <v>0</v>
      </c>
      <c r="AB42" s="19">
        <f t="shared" si="11"/>
        <v>0</v>
      </c>
      <c r="AC42" s="19"/>
      <c r="AD42" s="19">
        <f t="shared" si="6"/>
        <v>0</v>
      </c>
      <c r="AE42" s="19">
        <f t="shared" si="7"/>
        <v>2110280</v>
      </c>
      <c r="AF42" s="19">
        <v>1933180</v>
      </c>
      <c r="AG42" s="19">
        <f t="shared" si="8"/>
        <v>177100</v>
      </c>
      <c r="AH42" s="114"/>
      <c r="AJ42" s="80"/>
      <c r="AK42" s="80"/>
      <c r="AN42" s="80"/>
      <c r="AO42" s="80"/>
    </row>
    <row r="43" spans="1:41" x14ac:dyDescent="0.25">
      <c r="A43" s="6" t="s">
        <v>38</v>
      </c>
      <c r="B43" s="5" t="s">
        <v>324</v>
      </c>
      <c r="C43" s="5" t="s">
        <v>45</v>
      </c>
      <c r="D43" s="19">
        <v>5157792</v>
      </c>
      <c r="E43" s="19">
        <v>5378005</v>
      </c>
      <c r="F43" s="19">
        <v>5895831</v>
      </c>
      <c r="G43" s="19">
        <v>499384</v>
      </c>
      <c r="H43" s="4">
        <f t="shared" si="3"/>
        <v>6092259.4000000004</v>
      </c>
      <c r="I43" s="19">
        <v>501</v>
      </c>
      <c r="J43" s="19">
        <v>892</v>
      </c>
      <c r="K43" s="19">
        <v>691</v>
      </c>
      <c r="L43" s="19">
        <v>3972</v>
      </c>
      <c r="M43" s="19">
        <v>1399</v>
      </c>
      <c r="N43" s="19">
        <f t="shared" si="4"/>
        <v>6764</v>
      </c>
      <c r="O43" s="23">
        <v>1.97</v>
      </c>
      <c r="P43" s="19">
        <v>60</v>
      </c>
      <c r="Q43" s="19">
        <v>12</v>
      </c>
      <c r="R43" s="19">
        <v>103.3</v>
      </c>
      <c r="S43" s="3">
        <f t="shared" si="5"/>
        <v>7719320.394819838</v>
      </c>
      <c r="T43" s="19">
        <v>1525535</v>
      </c>
      <c r="U43" s="15">
        <f t="shared" si="9"/>
        <v>1464355</v>
      </c>
      <c r="V43" s="15">
        <v>0</v>
      </c>
      <c r="W43" s="15">
        <f t="shared" si="10"/>
        <v>1464355</v>
      </c>
      <c r="X43" s="18"/>
      <c r="Y43" s="76"/>
      <c r="Z43" s="18"/>
      <c r="AA43" s="19">
        <v>0</v>
      </c>
      <c r="AB43" s="19">
        <f t="shared" si="11"/>
        <v>0</v>
      </c>
      <c r="AC43" s="19"/>
      <c r="AD43" s="19">
        <f t="shared" si="6"/>
        <v>0</v>
      </c>
      <c r="AE43" s="19">
        <f t="shared" si="7"/>
        <v>1464355</v>
      </c>
      <c r="AF43" s="19">
        <v>1525535</v>
      </c>
      <c r="AG43" s="19">
        <f t="shared" si="8"/>
        <v>-61180</v>
      </c>
      <c r="AH43" s="114"/>
      <c r="AJ43" s="80"/>
      <c r="AK43" s="80"/>
      <c r="AN43" s="80"/>
      <c r="AO43" s="80"/>
    </row>
    <row r="44" spans="1:41" x14ac:dyDescent="0.25">
      <c r="A44" s="6" t="s">
        <v>38</v>
      </c>
      <c r="B44" s="5" t="s">
        <v>322</v>
      </c>
      <c r="C44" s="5" t="s">
        <v>39</v>
      </c>
      <c r="D44" s="19">
        <v>4498091</v>
      </c>
      <c r="E44" s="19">
        <v>4449450</v>
      </c>
      <c r="F44" s="19">
        <v>4752197</v>
      </c>
      <c r="G44" s="19">
        <v>211384</v>
      </c>
      <c r="H44" s="4">
        <f t="shared" si="3"/>
        <v>4821935.7</v>
      </c>
      <c r="I44" s="19">
        <v>324</v>
      </c>
      <c r="J44" s="19">
        <v>704</v>
      </c>
      <c r="K44" s="19">
        <v>522</v>
      </c>
      <c r="L44" s="19">
        <v>3195</v>
      </c>
      <c r="M44" s="19">
        <v>1497</v>
      </c>
      <c r="N44" s="19">
        <f t="shared" si="4"/>
        <v>5720</v>
      </c>
      <c r="O44" s="23">
        <v>1.65</v>
      </c>
      <c r="P44" s="19">
        <v>45</v>
      </c>
      <c r="Q44" s="19">
        <v>1</v>
      </c>
      <c r="R44" s="19">
        <v>69.599999999999994</v>
      </c>
      <c r="S44" s="3">
        <f t="shared" si="5"/>
        <v>5891881.4409063039</v>
      </c>
      <c r="T44" s="19">
        <v>773499</v>
      </c>
      <c r="U44" s="15">
        <f t="shared" si="9"/>
        <v>962951</v>
      </c>
      <c r="V44" s="15">
        <v>0</v>
      </c>
      <c r="W44" s="15">
        <f t="shared" si="10"/>
        <v>962951</v>
      </c>
      <c r="X44" s="18"/>
      <c r="Y44" s="76"/>
      <c r="Z44" s="18"/>
      <c r="AA44" s="19">
        <v>455</v>
      </c>
      <c r="AB44" s="19">
        <f t="shared" si="11"/>
        <v>354</v>
      </c>
      <c r="AC44" s="19"/>
      <c r="AD44" s="19">
        <f t="shared" si="6"/>
        <v>0</v>
      </c>
      <c r="AE44" s="19">
        <f t="shared" si="7"/>
        <v>963305</v>
      </c>
      <c r="AF44" s="19">
        <v>773954</v>
      </c>
      <c r="AG44" s="19">
        <f t="shared" si="8"/>
        <v>189351</v>
      </c>
      <c r="AH44" s="114"/>
      <c r="AJ44" s="80"/>
      <c r="AK44" s="80"/>
      <c r="AN44" s="80"/>
      <c r="AO44" s="80"/>
    </row>
    <row r="45" spans="1:41" x14ac:dyDescent="0.25">
      <c r="A45" s="6" t="s">
        <v>38</v>
      </c>
      <c r="B45" s="5" t="s">
        <v>320</v>
      </c>
      <c r="C45" s="5" t="s">
        <v>42</v>
      </c>
      <c r="D45" s="19">
        <v>4297081</v>
      </c>
      <c r="E45" s="19">
        <v>4578564</v>
      </c>
      <c r="F45" s="19">
        <v>4919871</v>
      </c>
      <c r="G45" s="19">
        <v>386102</v>
      </c>
      <c r="H45" s="4">
        <f t="shared" si="3"/>
        <v>5079022.9000000004</v>
      </c>
      <c r="I45" s="19">
        <v>399</v>
      </c>
      <c r="J45" s="19">
        <v>753</v>
      </c>
      <c r="K45" s="19">
        <v>582</v>
      </c>
      <c r="L45" s="19">
        <v>3186</v>
      </c>
      <c r="M45" s="19">
        <v>1341</v>
      </c>
      <c r="N45" s="19">
        <f t="shared" si="4"/>
        <v>5679</v>
      </c>
      <c r="O45" s="23">
        <v>1.99</v>
      </c>
      <c r="P45" s="19">
        <v>70</v>
      </c>
      <c r="Q45" s="19">
        <v>2</v>
      </c>
      <c r="R45" s="19">
        <v>56.800000000000004</v>
      </c>
      <c r="S45" s="3">
        <f t="shared" si="5"/>
        <v>6515940.2679971028</v>
      </c>
      <c r="T45" s="19">
        <v>1230437</v>
      </c>
      <c r="U45" s="15">
        <f t="shared" si="9"/>
        <v>1293226</v>
      </c>
      <c r="V45" s="15">
        <v>0</v>
      </c>
      <c r="W45" s="15">
        <f t="shared" si="10"/>
        <v>1293226</v>
      </c>
      <c r="X45" s="18"/>
      <c r="Y45" s="76"/>
      <c r="Z45" s="18"/>
      <c r="AA45" s="19">
        <v>2082</v>
      </c>
      <c r="AB45" s="19">
        <f t="shared" si="11"/>
        <v>1620</v>
      </c>
      <c r="AC45" s="19"/>
      <c r="AD45" s="19">
        <f t="shared" si="6"/>
        <v>0</v>
      </c>
      <c r="AE45" s="19">
        <f t="shared" si="7"/>
        <v>1294846</v>
      </c>
      <c r="AF45" s="19">
        <v>1232519</v>
      </c>
      <c r="AG45" s="19">
        <f t="shared" si="8"/>
        <v>62327</v>
      </c>
      <c r="AH45" s="114"/>
      <c r="AJ45" s="80"/>
      <c r="AK45" s="80"/>
      <c r="AN45" s="80"/>
      <c r="AO45" s="80"/>
    </row>
    <row r="46" spans="1:41" x14ac:dyDescent="0.25">
      <c r="A46" s="6" t="s">
        <v>35</v>
      </c>
      <c r="B46" s="5" t="s">
        <v>316</v>
      </c>
      <c r="C46" s="5" t="s">
        <v>36</v>
      </c>
      <c r="D46" s="19">
        <v>3910004</v>
      </c>
      <c r="E46" s="19">
        <v>4196617</v>
      </c>
      <c r="F46" s="19">
        <v>4764126</v>
      </c>
      <c r="G46" s="19">
        <v>279509</v>
      </c>
      <c r="H46" s="4">
        <f t="shared" si="3"/>
        <v>4702557.9000000004</v>
      </c>
      <c r="I46" s="19">
        <v>325</v>
      </c>
      <c r="J46" s="19">
        <v>574</v>
      </c>
      <c r="K46" s="19">
        <v>431</v>
      </c>
      <c r="L46" s="19">
        <v>2827</v>
      </c>
      <c r="M46" s="19">
        <v>1085</v>
      </c>
      <c r="N46" s="19">
        <f t="shared" si="4"/>
        <v>4811</v>
      </c>
      <c r="O46" s="23">
        <v>2.09</v>
      </c>
      <c r="P46" s="19">
        <v>68</v>
      </c>
      <c r="Q46" s="19">
        <v>11</v>
      </c>
      <c r="R46" s="19">
        <v>291.09999999999997</v>
      </c>
      <c r="S46" s="3">
        <f t="shared" si="5"/>
        <v>5402077.202470718</v>
      </c>
      <c r="T46" s="19">
        <v>711966</v>
      </c>
      <c r="U46" s="15">
        <f t="shared" si="9"/>
        <v>629567</v>
      </c>
      <c r="V46" s="15">
        <v>0</v>
      </c>
      <c r="W46" s="15">
        <f t="shared" si="10"/>
        <v>629567</v>
      </c>
      <c r="X46" s="18"/>
      <c r="Y46" s="76"/>
      <c r="Z46" s="18"/>
      <c r="AA46" s="19">
        <v>0</v>
      </c>
      <c r="AB46" s="19">
        <f t="shared" si="11"/>
        <v>0</v>
      </c>
      <c r="AC46" s="19"/>
      <c r="AD46" s="19">
        <f t="shared" si="6"/>
        <v>0</v>
      </c>
      <c r="AE46" s="19">
        <f t="shared" si="7"/>
        <v>629567</v>
      </c>
      <c r="AF46" s="19">
        <v>711966</v>
      </c>
      <c r="AG46" s="19">
        <f t="shared" si="8"/>
        <v>-82399</v>
      </c>
      <c r="AH46" s="114"/>
      <c r="AJ46" s="80"/>
      <c r="AK46" s="80"/>
      <c r="AN46" s="80"/>
      <c r="AO46" s="80"/>
    </row>
    <row r="47" spans="1:41" x14ac:dyDescent="0.25">
      <c r="A47" s="6" t="s">
        <v>35</v>
      </c>
      <c r="B47" s="5" t="s">
        <v>304</v>
      </c>
      <c r="C47" s="5" t="s">
        <v>35</v>
      </c>
      <c r="D47" s="19">
        <v>10666680</v>
      </c>
      <c r="E47" s="19">
        <v>10959487</v>
      </c>
      <c r="F47" s="19">
        <v>12015627</v>
      </c>
      <c r="G47" s="19">
        <v>399886</v>
      </c>
      <c r="H47" s="4">
        <f t="shared" si="3"/>
        <v>11828881.6</v>
      </c>
      <c r="I47" s="19">
        <v>869</v>
      </c>
      <c r="J47" s="19">
        <v>1727</v>
      </c>
      <c r="K47" s="19">
        <v>1299</v>
      </c>
      <c r="L47" s="19">
        <v>7645</v>
      </c>
      <c r="M47" s="19">
        <v>3194</v>
      </c>
      <c r="N47" s="19">
        <f t="shared" si="4"/>
        <v>13435</v>
      </c>
      <c r="O47" s="23">
        <v>1.56</v>
      </c>
      <c r="P47" s="19">
        <v>52</v>
      </c>
      <c r="Q47" s="19">
        <v>3</v>
      </c>
      <c r="R47" s="19">
        <v>749.90000000000009</v>
      </c>
      <c r="S47" s="3">
        <f t="shared" si="5"/>
        <v>14048079.93340457</v>
      </c>
      <c r="T47" s="19">
        <v>2065278</v>
      </c>
      <c r="U47" s="15">
        <f t="shared" si="9"/>
        <v>1997279</v>
      </c>
      <c r="V47" s="15">
        <v>0</v>
      </c>
      <c r="W47" s="15">
        <f t="shared" si="10"/>
        <v>1997279</v>
      </c>
      <c r="X47" s="18"/>
      <c r="Y47" s="76"/>
      <c r="Z47" s="18"/>
      <c r="AA47" s="19">
        <v>0</v>
      </c>
      <c r="AB47" s="19">
        <f t="shared" si="11"/>
        <v>0</v>
      </c>
      <c r="AC47" s="19"/>
      <c r="AD47" s="19">
        <f t="shared" si="6"/>
        <v>0</v>
      </c>
      <c r="AE47" s="19">
        <f t="shared" si="7"/>
        <v>1997279</v>
      </c>
      <c r="AF47" s="19">
        <v>2065278</v>
      </c>
      <c r="AG47" s="19">
        <f t="shared" si="8"/>
        <v>-67999</v>
      </c>
      <c r="AH47" s="114"/>
      <c r="AJ47" s="80"/>
      <c r="AK47" s="80"/>
      <c r="AN47" s="80"/>
      <c r="AO47" s="80"/>
    </row>
    <row r="48" spans="1:41" x14ac:dyDescent="0.25">
      <c r="A48" s="6" t="s">
        <v>35</v>
      </c>
      <c r="B48" s="5" t="s">
        <v>302</v>
      </c>
      <c r="C48" s="5" t="s">
        <v>34</v>
      </c>
      <c r="D48" s="19">
        <v>4542144</v>
      </c>
      <c r="E48" s="19">
        <v>4768456</v>
      </c>
      <c r="F48" s="19">
        <v>5272172</v>
      </c>
      <c r="G48" s="19">
        <v>246523</v>
      </c>
      <c r="H48" s="4">
        <f t="shared" si="3"/>
        <v>5221574.5999999996</v>
      </c>
      <c r="I48" s="19">
        <v>341</v>
      </c>
      <c r="J48" s="19">
        <v>659</v>
      </c>
      <c r="K48" s="19">
        <v>500</v>
      </c>
      <c r="L48" s="19">
        <v>3577</v>
      </c>
      <c r="M48" s="19">
        <v>1546</v>
      </c>
      <c r="N48" s="19">
        <f t="shared" si="4"/>
        <v>6123</v>
      </c>
      <c r="O48" s="23">
        <v>1.74</v>
      </c>
      <c r="P48" s="19">
        <v>68</v>
      </c>
      <c r="Q48" s="19">
        <v>4</v>
      </c>
      <c r="R48" s="19">
        <v>406.9</v>
      </c>
      <c r="S48" s="3">
        <f t="shared" si="5"/>
        <v>6266332.7006698893</v>
      </c>
      <c r="T48" s="19">
        <v>974304</v>
      </c>
      <c r="U48" s="15">
        <f t="shared" si="9"/>
        <v>940282</v>
      </c>
      <c r="V48" s="15">
        <v>18891.918083751574</v>
      </c>
      <c r="W48" s="15">
        <f t="shared" si="10"/>
        <v>959173.91808375157</v>
      </c>
      <c r="X48" s="18"/>
      <c r="Y48" s="76"/>
      <c r="Z48" s="18"/>
      <c r="AA48" s="19">
        <v>0</v>
      </c>
      <c r="AB48" s="19">
        <f t="shared" si="11"/>
        <v>0</v>
      </c>
      <c r="AC48" s="19"/>
      <c r="AD48" s="19">
        <f t="shared" si="6"/>
        <v>0</v>
      </c>
      <c r="AE48" s="19">
        <f t="shared" si="7"/>
        <v>959174</v>
      </c>
      <c r="AF48" s="19">
        <v>993196</v>
      </c>
      <c r="AG48" s="19">
        <f t="shared" si="8"/>
        <v>-34022</v>
      </c>
      <c r="AH48" s="114"/>
      <c r="AJ48" s="80"/>
      <c r="AK48" s="80"/>
      <c r="AN48" s="80"/>
      <c r="AO48" s="80"/>
    </row>
    <row r="49" spans="1:41" x14ac:dyDescent="0.25">
      <c r="A49" s="6" t="s">
        <v>28</v>
      </c>
      <c r="B49" s="5" t="s">
        <v>283</v>
      </c>
      <c r="C49" s="5" t="s">
        <v>32</v>
      </c>
      <c r="D49" s="19">
        <v>3756730</v>
      </c>
      <c r="E49" s="19">
        <v>3936561</v>
      </c>
      <c r="F49" s="19">
        <v>4510412</v>
      </c>
      <c r="G49" s="19">
        <v>222809</v>
      </c>
      <c r="H49" s="4">
        <f t="shared" si="3"/>
        <v>4410329.3</v>
      </c>
      <c r="I49" s="19">
        <v>315</v>
      </c>
      <c r="J49" s="19">
        <v>690</v>
      </c>
      <c r="K49" s="19">
        <v>534</v>
      </c>
      <c r="L49" s="19">
        <v>3021</v>
      </c>
      <c r="M49" s="19">
        <v>1021</v>
      </c>
      <c r="N49" s="19">
        <f t="shared" si="4"/>
        <v>5047</v>
      </c>
      <c r="O49" s="23">
        <v>2</v>
      </c>
      <c r="P49" s="19">
        <v>53</v>
      </c>
      <c r="Q49" s="19">
        <v>3</v>
      </c>
      <c r="R49" s="19">
        <v>64</v>
      </c>
      <c r="S49" s="3">
        <f t="shared" si="5"/>
        <v>5659084.383714146</v>
      </c>
      <c r="T49" s="19">
        <v>1148264</v>
      </c>
      <c r="U49" s="15">
        <f t="shared" si="9"/>
        <v>1123880</v>
      </c>
      <c r="V49" s="15">
        <v>0</v>
      </c>
      <c r="W49" s="15">
        <f t="shared" si="10"/>
        <v>1123880</v>
      </c>
      <c r="X49" s="18"/>
      <c r="Y49" s="76"/>
      <c r="Z49" s="18"/>
      <c r="AA49" s="19">
        <v>0</v>
      </c>
      <c r="AB49" s="19">
        <f t="shared" si="11"/>
        <v>0</v>
      </c>
      <c r="AC49" s="19"/>
      <c r="AD49" s="19">
        <f t="shared" si="6"/>
        <v>0</v>
      </c>
      <c r="AE49" s="19">
        <f t="shared" si="7"/>
        <v>1123880</v>
      </c>
      <c r="AF49" s="19">
        <v>1148264</v>
      </c>
      <c r="AG49" s="19">
        <f t="shared" si="8"/>
        <v>-24384</v>
      </c>
      <c r="AH49" s="114"/>
      <c r="AJ49" s="80"/>
      <c r="AK49" s="80"/>
      <c r="AN49" s="80"/>
      <c r="AO49" s="80"/>
    </row>
    <row r="50" spans="1:41" x14ac:dyDescent="0.25">
      <c r="A50" s="6" t="s">
        <v>28</v>
      </c>
      <c r="B50" s="5" t="s">
        <v>281</v>
      </c>
      <c r="C50" s="5" t="s">
        <v>27</v>
      </c>
      <c r="D50" s="19">
        <v>617644</v>
      </c>
      <c r="E50" s="19">
        <v>646803</v>
      </c>
      <c r="F50" s="19">
        <v>682204</v>
      </c>
      <c r="G50" s="19">
        <v>3502</v>
      </c>
      <c r="H50" s="4">
        <f t="shared" si="3"/>
        <v>662173.69999999995</v>
      </c>
      <c r="I50" s="19">
        <v>31</v>
      </c>
      <c r="J50" s="19">
        <v>61</v>
      </c>
      <c r="K50" s="19">
        <v>49</v>
      </c>
      <c r="L50" s="19">
        <v>467</v>
      </c>
      <c r="M50" s="19">
        <v>132</v>
      </c>
      <c r="N50" s="19">
        <f t="shared" si="4"/>
        <v>691</v>
      </c>
      <c r="O50" s="23">
        <v>2.1</v>
      </c>
      <c r="P50" s="19">
        <v>4</v>
      </c>
      <c r="Q50" s="19">
        <v>0</v>
      </c>
      <c r="R50" s="19">
        <v>17.600000000000001</v>
      </c>
      <c r="S50" s="3">
        <f t="shared" si="5"/>
        <v>667533.2956072964</v>
      </c>
      <c r="T50" s="19">
        <v>30643</v>
      </c>
      <c r="U50" s="15">
        <f t="shared" si="9"/>
        <v>17292.334087854069</v>
      </c>
      <c r="V50" s="15">
        <v>0</v>
      </c>
      <c r="W50" s="15">
        <f t="shared" si="10"/>
        <v>17292.334087854069</v>
      </c>
      <c r="X50" s="19">
        <f>SUMIF(V$92:V$108,C50,X$92:X$108)</f>
        <v>691</v>
      </c>
      <c r="Y50" s="76">
        <f>SUMIF(V$92:V$108,C50,Y$92:Y$108)</f>
        <v>16.899999999999999</v>
      </c>
      <c r="Z50" s="15">
        <f>ROUND((X50*L$97+Y50*L$98),0)+SUMIF(V$92:V$108,C50,Z$92:Z$108)</f>
        <v>185260.3723698993</v>
      </c>
      <c r="AA50" s="19">
        <v>496</v>
      </c>
      <c r="AB50" s="19">
        <f t="shared" si="11"/>
        <v>386</v>
      </c>
      <c r="AC50" s="19"/>
      <c r="AD50" s="19">
        <f t="shared" si="6"/>
        <v>0</v>
      </c>
      <c r="AE50" s="19">
        <f t="shared" si="7"/>
        <v>202939</v>
      </c>
      <c r="AF50" s="19">
        <v>209920</v>
      </c>
      <c r="AG50" s="19">
        <f t="shared" si="8"/>
        <v>-6981</v>
      </c>
      <c r="AH50" s="114"/>
      <c r="AJ50" s="80"/>
      <c r="AK50" s="80"/>
      <c r="AN50" s="80"/>
      <c r="AO50" s="80"/>
    </row>
    <row r="51" spans="1:41" x14ac:dyDescent="0.25">
      <c r="A51" s="6" t="s">
        <v>28</v>
      </c>
      <c r="B51" s="5" t="s">
        <v>595</v>
      </c>
      <c r="C51" s="5" t="s">
        <v>49</v>
      </c>
      <c r="D51" s="19">
        <v>3842439</v>
      </c>
      <c r="E51" s="19">
        <v>3956276</v>
      </c>
      <c r="F51" s="19">
        <v>4314750</v>
      </c>
      <c r="G51" s="19">
        <v>409284</v>
      </c>
      <c r="H51" s="4">
        <f t="shared" si="3"/>
        <v>4522029.5999999996</v>
      </c>
      <c r="I51" s="19">
        <v>278</v>
      </c>
      <c r="J51" s="19">
        <v>570</v>
      </c>
      <c r="K51" s="19">
        <v>414</v>
      </c>
      <c r="L51" s="19">
        <v>2991</v>
      </c>
      <c r="M51" s="19">
        <v>1359</v>
      </c>
      <c r="N51" s="19">
        <f t="shared" si="4"/>
        <v>5198</v>
      </c>
      <c r="O51" s="23">
        <v>1.99</v>
      </c>
      <c r="P51" s="19">
        <v>73</v>
      </c>
      <c r="Q51" s="19">
        <v>17</v>
      </c>
      <c r="R51" s="19">
        <v>193.60000000000002</v>
      </c>
      <c r="S51" s="3">
        <f t="shared" si="5"/>
        <v>5443469.9952169098</v>
      </c>
      <c r="T51" s="19">
        <v>789694</v>
      </c>
      <c r="U51" s="15">
        <f t="shared" si="9"/>
        <v>829296</v>
      </c>
      <c r="V51" s="15">
        <v>0</v>
      </c>
      <c r="W51" s="15">
        <f t="shared" si="10"/>
        <v>829296</v>
      </c>
      <c r="X51" s="18"/>
      <c r="Y51" s="76"/>
      <c r="Z51" s="18"/>
      <c r="AA51" s="19">
        <v>1309</v>
      </c>
      <c r="AB51" s="19">
        <f t="shared" si="11"/>
        <v>1018</v>
      </c>
      <c r="AC51" s="19"/>
      <c r="AD51" s="19">
        <f t="shared" si="6"/>
        <v>0</v>
      </c>
      <c r="AE51" s="19">
        <f t="shared" si="7"/>
        <v>830314</v>
      </c>
      <c r="AF51" s="19">
        <v>791003</v>
      </c>
      <c r="AG51" s="19">
        <f t="shared" si="8"/>
        <v>39311</v>
      </c>
      <c r="AH51" s="114"/>
      <c r="AJ51" s="80"/>
      <c r="AK51" s="80"/>
      <c r="AN51" s="80"/>
      <c r="AO51" s="80"/>
    </row>
    <row r="52" spans="1:41" x14ac:dyDescent="0.25">
      <c r="A52" s="6" t="s">
        <v>28</v>
      </c>
      <c r="B52" s="5" t="s">
        <v>596</v>
      </c>
      <c r="C52" s="5" t="s">
        <v>31</v>
      </c>
      <c r="D52" s="19">
        <v>6279612</v>
      </c>
      <c r="E52" s="19">
        <v>6503138</v>
      </c>
      <c r="F52" s="19">
        <v>7052987</v>
      </c>
      <c r="G52" s="19">
        <v>364939</v>
      </c>
      <c r="H52" s="4">
        <f t="shared" si="3"/>
        <v>7098296.2999999998</v>
      </c>
      <c r="I52" s="19">
        <v>563</v>
      </c>
      <c r="J52" s="19">
        <v>937</v>
      </c>
      <c r="K52" s="19">
        <v>735</v>
      </c>
      <c r="L52" s="19">
        <v>4468</v>
      </c>
      <c r="M52" s="19">
        <v>2008</v>
      </c>
      <c r="N52" s="19">
        <f t="shared" si="4"/>
        <v>7976</v>
      </c>
      <c r="O52" s="23">
        <v>1.95</v>
      </c>
      <c r="P52" s="19">
        <v>68</v>
      </c>
      <c r="Q52" s="19">
        <v>11</v>
      </c>
      <c r="R52" s="19">
        <v>249</v>
      </c>
      <c r="S52" s="3">
        <f t="shared" si="5"/>
        <v>8862159.2226023879</v>
      </c>
      <c r="T52" s="19">
        <v>1383037</v>
      </c>
      <c r="U52" s="15">
        <f t="shared" si="9"/>
        <v>1587477</v>
      </c>
      <c r="V52" s="15">
        <v>0</v>
      </c>
      <c r="W52" s="15">
        <f t="shared" si="10"/>
        <v>1587477</v>
      </c>
      <c r="X52" s="18"/>
      <c r="Y52" s="76"/>
      <c r="Z52" s="18"/>
      <c r="AA52" s="19">
        <v>1242</v>
      </c>
      <c r="AB52" s="19">
        <f t="shared" si="11"/>
        <v>966</v>
      </c>
      <c r="AC52" s="19"/>
      <c r="AD52" s="19">
        <f t="shared" si="6"/>
        <v>0</v>
      </c>
      <c r="AE52" s="19">
        <f t="shared" si="7"/>
        <v>1588443</v>
      </c>
      <c r="AF52" s="19">
        <v>1384279</v>
      </c>
      <c r="AG52" s="19">
        <f t="shared" si="8"/>
        <v>204164</v>
      </c>
      <c r="AH52" s="114"/>
      <c r="AJ52" s="80"/>
      <c r="AK52" s="80"/>
      <c r="AN52" s="80"/>
      <c r="AO52" s="80"/>
    </row>
    <row r="53" spans="1:41" x14ac:dyDescent="0.25">
      <c r="A53" s="6" t="s">
        <v>28</v>
      </c>
      <c r="B53" s="5" t="s">
        <v>30</v>
      </c>
      <c r="C53" s="5" t="s">
        <v>30</v>
      </c>
      <c r="D53" s="19">
        <v>40464231</v>
      </c>
      <c r="E53" s="19">
        <v>43656059</v>
      </c>
      <c r="F53" s="19">
        <v>48675684</v>
      </c>
      <c r="G53" s="19">
        <v>2339539</v>
      </c>
      <c r="H53" s="4">
        <f t="shared" si="3"/>
        <v>47867044.899999999</v>
      </c>
      <c r="I53" s="19">
        <v>3740</v>
      </c>
      <c r="J53" s="19">
        <v>7258</v>
      </c>
      <c r="K53" s="19">
        <v>5585</v>
      </c>
      <c r="L53" s="19">
        <v>29163</v>
      </c>
      <c r="M53" s="19">
        <v>11713</v>
      </c>
      <c r="N53" s="19">
        <f t="shared" si="4"/>
        <v>51874</v>
      </c>
      <c r="O53" s="23">
        <v>1.18</v>
      </c>
      <c r="P53" s="19">
        <v>334</v>
      </c>
      <c r="Q53" s="19">
        <v>22</v>
      </c>
      <c r="R53" s="19">
        <v>1008.2</v>
      </c>
      <c r="S53" s="3">
        <f t="shared" si="5"/>
        <v>54140560.122006603</v>
      </c>
      <c r="T53" s="19">
        <v>6092454</v>
      </c>
      <c r="U53" s="15">
        <f t="shared" si="9"/>
        <v>5646164</v>
      </c>
      <c r="V53" s="15">
        <v>0</v>
      </c>
      <c r="W53" s="15">
        <f t="shared" si="10"/>
        <v>5646164</v>
      </c>
      <c r="X53" s="19">
        <f>SUMIF(V$92:V$108,C53,X$92:X$108)</f>
        <v>48</v>
      </c>
      <c r="Y53" s="76">
        <f>SUMIF(V$92:V$108,C53,Y$92:Y$108)</f>
        <v>0.9</v>
      </c>
      <c r="Z53" s="15">
        <f>ROUND((X53*L$97+Y53*L$98),0)+SUMIF(V$92:V$108,C53,Z$92:Z$108)</f>
        <v>26421.372369899313</v>
      </c>
      <c r="AA53" s="19">
        <v>0</v>
      </c>
      <c r="AB53" s="19">
        <f t="shared" si="11"/>
        <v>0</v>
      </c>
      <c r="AC53" s="19"/>
      <c r="AD53" s="19">
        <f t="shared" si="6"/>
        <v>0</v>
      </c>
      <c r="AE53" s="19">
        <f t="shared" si="7"/>
        <v>5672585</v>
      </c>
      <c r="AF53" s="19">
        <v>6117795</v>
      </c>
      <c r="AG53" s="19">
        <f t="shared" si="8"/>
        <v>-445210</v>
      </c>
      <c r="AH53" s="114"/>
      <c r="AJ53" s="80"/>
      <c r="AK53" s="80"/>
      <c r="AN53" s="80"/>
      <c r="AO53" s="80"/>
    </row>
    <row r="54" spans="1:41" x14ac:dyDescent="0.25">
      <c r="A54" s="6" t="s">
        <v>28</v>
      </c>
      <c r="B54" s="5" t="s">
        <v>275</v>
      </c>
      <c r="C54" s="5" t="s">
        <v>33</v>
      </c>
      <c r="D54" s="19">
        <v>3380159</v>
      </c>
      <c r="E54" s="19">
        <v>3517218</v>
      </c>
      <c r="F54" s="19">
        <v>3821475</v>
      </c>
      <c r="G54" s="19">
        <v>411208</v>
      </c>
      <c r="H54" s="4">
        <f t="shared" si="3"/>
        <v>4053142.7</v>
      </c>
      <c r="I54" s="19">
        <v>278</v>
      </c>
      <c r="J54" s="19">
        <v>497</v>
      </c>
      <c r="K54" s="19">
        <v>373</v>
      </c>
      <c r="L54" s="19">
        <v>2599</v>
      </c>
      <c r="M54" s="19">
        <v>1131</v>
      </c>
      <c r="N54" s="19">
        <f t="shared" si="4"/>
        <v>4505</v>
      </c>
      <c r="O54" s="23">
        <v>1.92</v>
      </c>
      <c r="P54" s="19">
        <v>58</v>
      </c>
      <c r="Q54" s="19">
        <v>0</v>
      </c>
      <c r="R54" s="19">
        <v>263.60000000000002</v>
      </c>
      <c r="S54" s="3">
        <f t="shared" si="5"/>
        <v>4809745.7729021562</v>
      </c>
      <c r="T54" s="19">
        <v>517863</v>
      </c>
      <c r="U54" s="15">
        <f t="shared" si="9"/>
        <v>680943</v>
      </c>
      <c r="V54" s="15">
        <v>0</v>
      </c>
      <c r="W54" s="15">
        <f t="shared" si="10"/>
        <v>680943</v>
      </c>
      <c r="X54" s="18"/>
      <c r="Y54" s="76"/>
      <c r="Z54" s="18"/>
      <c r="AA54" s="19">
        <v>0</v>
      </c>
      <c r="AB54" s="19">
        <f t="shared" si="11"/>
        <v>0</v>
      </c>
      <c r="AC54" s="19"/>
      <c r="AD54" s="19">
        <f t="shared" si="6"/>
        <v>0</v>
      </c>
      <c r="AE54" s="19">
        <f t="shared" si="7"/>
        <v>680943</v>
      </c>
      <c r="AF54" s="19">
        <v>517863</v>
      </c>
      <c r="AG54" s="19">
        <f t="shared" si="8"/>
        <v>163080</v>
      </c>
      <c r="AH54" s="114"/>
      <c r="AJ54" s="80"/>
      <c r="AK54" s="80"/>
      <c r="AN54" s="80"/>
      <c r="AO54" s="80"/>
    </row>
    <row r="55" spans="1:41" x14ac:dyDescent="0.25">
      <c r="A55" s="6" t="s">
        <v>28</v>
      </c>
      <c r="B55" s="5" t="s">
        <v>265</v>
      </c>
      <c r="C55" s="5" t="s">
        <v>29</v>
      </c>
      <c r="D55" s="19">
        <v>9497885</v>
      </c>
      <c r="E55" s="19">
        <v>10102827</v>
      </c>
      <c r="F55" s="19">
        <v>11662543</v>
      </c>
      <c r="G55" s="19">
        <v>342814</v>
      </c>
      <c r="H55" s="4">
        <f t="shared" si="3"/>
        <v>11104510.6</v>
      </c>
      <c r="I55" s="19">
        <v>1065</v>
      </c>
      <c r="J55" s="19">
        <v>1883</v>
      </c>
      <c r="K55" s="19">
        <v>1451</v>
      </c>
      <c r="L55" s="19">
        <v>7272</v>
      </c>
      <c r="M55" s="19">
        <v>2254</v>
      </c>
      <c r="N55" s="19">
        <f t="shared" si="4"/>
        <v>12474</v>
      </c>
      <c r="O55" s="23">
        <v>1.57</v>
      </c>
      <c r="P55" s="19">
        <v>105</v>
      </c>
      <c r="Q55" s="19">
        <v>9</v>
      </c>
      <c r="R55" s="19">
        <v>256.5</v>
      </c>
      <c r="S55" s="3">
        <f t="shared" si="5"/>
        <v>14342967.81604195</v>
      </c>
      <c r="T55" s="19">
        <v>2956845</v>
      </c>
      <c r="U55" s="15">
        <f t="shared" si="9"/>
        <v>2914611</v>
      </c>
      <c r="V55" s="15">
        <v>0</v>
      </c>
      <c r="W55" s="15">
        <f t="shared" si="10"/>
        <v>2914611</v>
      </c>
      <c r="X55" s="18"/>
      <c r="Y55" s="76"/>
      <c r="Z55" s="18"/>
      <c r="AA55" s="19">
        <v>0</v>
      </c>
      <c r="AB55" s="19">
        <f t="shared" si="11"/>
        <v>0</v>
      </c>
      <c r="AC55" s="19"/>
      <c r="AD55" s="19">
        <f t="shared" si="6"/>
        <v>0</v>
      </c>
      <c r="AE55" s="19">
        <f t="shared" si="7"/>
        <v>2914611</v>
      </c>
      <c r="AF55" s="19">
        <v>2956845</v>
      </c>
      <c r="AG55" s="19">
        <f t="shared" si="8"/>
        <v>-42234</v>
      </c>
      <c r="AH55" s="114"/>
      <c r="AJ55" s="80"/>
      <c r="AK55" s="80"/>
      <c r="AN55" s="80"/>
      <c r="AO55" s="80"/>
    </row>
    <row r="56" spans="1:41" x14ac:dyDescent="0.25">
      <c r="A56" s="6" t="s">
        <v>24</v>
      </c>
      <c r="B56" s="5" t="s">
        <v>249</v>
      </c>
      <c r="C56" s="5" t="s">
        <v>25</v>
      </c>
      <c r="D56" s="19">
        <v>4566024</v>
      </c>
      <c r="E56" s="19">
        <v>4757073</v>
      </c>
      <c r="F56" s="19">
        <v>5437457</v>
      </c>
      <c r="G56" s="19">
        <v>225042</v>
      </c>
      <c r="H56" s="4">
        <f t="shared" si="3"/>
        <v>5284097.2</v>
      </c>
      <c r="I56" s="19">
        <v>394</v>
      </c>
      <c r="J56" s="19">
        <v>728</v>
      </c>
      <c r="K56" s="19">
        <v>556</v>
      </c>
      <c r="L56" s="19">
        <v>3096</v>
      </c>
      <c r="M56" s="19">
        <v>1214</v>
      </c>
      <c r="N56" s="19">
        <f t="shared" si="4"/>
        <v>5432</v>
      </c>
      <c r="O56" s="23">
        <v>2</v>
      </c>
      <c r="P56" s="19">
        <v>17</v>
      </c>
      <c r="Q56" s="19">
        <v>0</v>
      </c>
      <c r="R56" s="19">
        <v>125.6</v>
      </c>
      <c r="S56" s="3">
        <f t="shared" si="5"/>
        <v>6131846.1071838336</v>
      </c>
      <c r="T56" s="19">
        <v>827623</v>
      </c>
      <c r="U56" s="15">
        <f t="shared" si="9"/>
        <v>762974</v>
      </c>
      <c r="V56" s="15">
        <v>0</v>
      </c>
      <c r="W56" s="15">
        <f t="shared" si="10"/>
        <v>762974</v>
      </c>
      <c r="X56" s="18"/>
      <c r="Y56" s="76"/>
      <c r="Z56" s="18"/>
      <c r="AA56" s="19">
        <v>394</v>
      </c>
      <c r="AB56" s="19">
        <f t="shared" si="11"/>
        <v>307</v>
      </c>
      <c r="AC56" s="19"/>
      <c r="AD56" s="19">
        <f t="shared" si="6"/>
        <v>0</v>
      </c>
      <c r="AE56" s="19">
        <f t="shared" si="7"/>
        <v>763281</v>
      </c>
      <c r="AF56" s="19">
        <v>828017</v>
      </c>
      <c r="AG56" s="19">
        <f t="shared" si="8"/>
        <v>-64736</v>
      </c>
      <c r="AH56" s="114"/>
      <c r="AJ56" s="80"/>
      <c r="AK56" s="80"/>
      <c r="AN56" s="80"/>
      <c r="AO56" s="80"/>
    </row>
    <row r="57" spans="1:41" x14ac:dyDescent="0.25">
      <c r="A57" s="6" t="s">
        <v>24</v>
      </c>
      <c r="B57" s="5" t="s">
        <v>247</v>
      </c>
      <c r="C57" s="5" t="s">
        <v>23</v>
      </c>
      <c r="D57" s="19">
        <v>7470864</v>
      </c>
      <c r="E57" s="19">
        <v>8030597</v>
      </c>
      <c r="F57" s="19">
        <v>8992747</v>
      </c>
      <c r="G57" s="19">
        <v>274697</v>
      </c>
      <c r="H57" s="4">
        <f t="shared" si="3"/>
        <v>8674422.4000000004</v>
      </c>
      <c r="I57" s="19">
        <v>712</v>
      </c>
      <c r="J57" s="19">
        <v>1320</v>
      </c>
      <c r="K57" s="19">
        <v>1008</v>
      </c>
      <c r="L57" s="19">
        <v>4512</v>
      </c>
      <c r="M57" s="19">
        <v>1224</v>
      </c>
      <c r="N57" s="19">
        <f t="shared" si="4"/>
        <v>7768</v>
      </c>
      <c r="O57" s="23">
        <v>1.41</v>
      </c>
      <c r="P57" s="19">
        <v>205</v>
      </c>
      <c r="Q57" s="19">
        <v>3</v>
      </c>
      <c r="R57" s="19">
        <v>35.9</v>
      </c>
      <c r="S57" s="3">
        <f t="shared" si="5"/>
        <v>9346763.9010573253</v>
      </c>
      <c r="T57" s="19">
        <v>626930</v>
      </c>
      <c r="U57" s="15">
        <f t="shared" si="9"/>
        <v>605107</v>
      </c>
      <c r="V57" s="15">
        <v>0</v>
      </c>
      <c r="W57" s="15">
        <f t="shared" si="10"/>
        <v>605107</v>
      </c>
      <c r="X57" s="18"/>
      <c r="Y57" s="76"/>
      <c r="Z57" s="18"/>
      <c r="AA57" s="19">
        <v>6160</v>
      </c>
      <c r="AB57" s="19">
        <f t="shared" si="11"/>
        <v>4792</v>
      </c>
      <c r="AC57" s="19"/>
      <c r="AD57" s="19">
        <f t="shared" si="6"/>
        <v>0</v>
      </c>
      <c r="AE57" s="19">
        <f t="shared" si="7"/>
        <v>609899</v>
      </c>
      <c r="AF57" s="19">
        <v>633090</v>
      </c>
      <c r="AG57" s="19">
        <f t="shared" si="8"/>
        <v>-23191</v>
      </c>
      <c r="AH57" s="114"/>
      <c r="AJ57" s="80"/>
      <c r="AK57" s="80"/>
      <c r="AN57" s="80"/>
      <c r="AO57" s="80"/>
    </row>
    <row r="58" spans="1:41" x14ac:dyDescent="0.25">
      <c r="A58" s="6" t="s">
        <v>24</v>
      </c>
      <c r="B58" s="5" t="s">
        <v>243</v>
      </c>
      <c r="C58" s="5" t="s">
        <v>26</v>
      </c>
      <c r="D58" s="19">
        <v>5983385</v>
      </c>
      <c r="E58" s="19">
        <v>6256187</v>
      </c>
      <c r="F58" s="19">
        <v>6916425</v>
      </c>
      <c r="G58" s="19">
        <v>511887</v>
      </c>
      <c r="H58" s="4">
        <f t="shared" si="3"/>
        <v>7043632.5999999996</v>
      </c>
      <c r="I58" s="19">
        <v>479</v>
      </c>
      <c r="J58" s="19">
        <v>969</v>
      </c>
      <c r="K58" s="19">
        <v>733</v>
      </c>
      <c r="L58" s="19">
        <v>4360</v>
      </c>
      <c r="M58" s="19">
        <v>1740</v>
      </c>
      <c r="N58" s="19">
        <f t="shared" si="4"/>
        <v>7548</v>
      </c>
      <c r="O58" s="23">
        <v>1.65</v>
      </c>
      <c r="P58" s="19">
        <v>109</v>
      </c>
      <c r="Q58" s="19">
        <v>2</v>
      </c>
      <c r="R58" s="19">
        <v>152.69999999999999</v>
      </c>
      <c r="S58" s="3">
        <f t="shared" si="5"/>
        <v>8100601.710551789</v>
      </c>
      <c r="T58" s="19">
        <v>745319</v>
      </c>
      <c r="U58" s="15">
        <f t="shared" si="9"/>
        <v>951272</v>
      </c>
      <c r="V58" s="15">
        <v>0</v>
      </c>
      <c r="W58" s="15">
        <f t="shared" si="10"/>
        <v>951272</v>
      </c>
      <c r="X58" s="18"/>
      <c r="Y58" s="76"/>
      <c r="Z58" s="18"/>
      <c r="AA58" s="19">
        <v>3256</v>
      </c>
      <c r="AB58" s="19">
        <f t="shared" si="11"/>
        <v>2533</v>
      </c>
      <c r="AC58" s="19"/>
      <c r="AD58" s="19">
        <f t="shared" si="6"/>
        <v>0</v>
      </c>
      <c r="AE58" s="19">
        <f t="shared" si="7"/>
        <v>953805</v>
      </c>
      <c r="AF58" s="19">
        <v>748575</v>
      </c>
      <c r="AG58" s="19">
        <f t="shared" si="8"/>
        <v>205230</v>
      </c>
      <c r="AH58" s="114"/>
      <c r="AJ58" s="80"/>
      <c r="AK58" s="80"/>
      <c r="AN58" s="80"/>
      <c r="AO58" s="80"/>
    </row>
    <row r="59" spans="1:41" x14ac:dyDescent="0.25">
      <c r="A59" s="6" t="s">
        <v>24</v>
      </c>
      <c r="B59" s="5" t="s">
        <v>239</v>
      </c>
      <c r="C59" s="5" t="s">
        <v>24</v>
      </c>
      <c r="D59" s="19">
        <v>11958584</v>
      </c>
      <c r="E59" s="19">
        <v>12506660</v>
      </c>
      <c r="F59" s="19">
        <v>13920661</v>
      </c>
      <c r="G59" s="19">
        <v>483874</v>
      </c>
      <c r="H59" s="4">
        <f t="shared" si="3"/>
        <v>13587919.300000001</v>
      </c>
      <c r="I59" s="19">
        <v>1047</v>
      </c>
      <c r="J59" s="19">
        <v>1875</v>
      </c>
      <c r="K59" s="19">
        <v>1417</v>
      </c>
      <c r="L59" s="19">
        <v>7482</v>
      </c>
      <c r="M59" s="19">
        <v>2824</v>
      </c>
      <c r="N59" s="19">
        <f t="shared" si="4"/>
        <v>13228</v>
      </c>
      <c r="O59" s="23">
        <v>1.57</v>
      </c>
      <c r="P59" s="19">
        <v>58</v>
      </c>
      <c r="Q59" s="19">
        <v>2</v>
      </c>
      <c r="R59" s="19">
        <v>202.20000000000002</v>
      </c>
      <c r="S59" s="3">
        <f t="shared" si="5"/>
        <v>14656399.615765652</v>
      </c>
      <c r="T59" s="19">
        <v>931036</v>
      </c>
      <c r="U59" s="15">
        <f t="shared" si="9"/>
        <v>961632</v>
      </c>
      <c r="V59" s="15">
        <v>11382.634374435525</v>
      </c>
      <c r="W59" s="15">
        <f t="shared" si="10"/>
        <v>973014.63437443553</v>
      </c>
      <c r="X59" s="18"/>
      <c r="Y59" s="76"/>
      <c r="Z59" s="18"/>
      <c r="AA59" s="19">
        <v>34305</v>
      </c>
      <c r="AB59" s="19">
        <f t="shared" si="11"/>
        <v>26689</v>
      </c>
      <c r="AC59" s="19"/>
      <c r="AD59" s="19">
        <f t="shared" si="6"/>
        <v>0</v>
      </c>
      <c r="AE59" s="19">
        <f t="shared" si="7"/>
        <v>999704</v>
      </c>
      <c r="AF59" s="19">
        <v>976724</v>
      </c>
      <c r="AG59" s="19">
        <f t="shared" si="8"/>
        <v>22980</v>
      </c>
      <c r="AH59" s="114"/>
      <c r="AJ59" s="80"/>
      <c r="AK59" s="80"/>
      <c r="AN59" s="80"/>
      <c r="AO59" s="80"/>
    </row>
    <row r="60" spans="1:41" x14ac:dyDescent="0.25">
      <c r="A60" s="6" t="s">
        <v>20</v>
      </c>
      <c r="B60" s="5" t="s">
        <v>225</v>
      </c>
      <c r="C60" s="5" t="s">
        <v>21</v>
      </c>
      <c r="D60" s="19">
        <v>1877244</v>
      </c>
      <c r="E60" s="19">
        <v>2070771</v>
      </c>
      <c r="F60" s="19">
        <v>2319070</v>
      </c>
      <c r="G60" s="19">
        <v>110560</v>
      </c>
      <c r="H60" s="4">
        <f t="shared" si="3"/>
        <v>2266775.1</v>
      </c>
      <c r="I60" s="19">
        <v>101</v>
      </c>
      <c r="J60" s="19">
        <v>176</v>
      </c>
      <c r="K60" s="19">
        <v>135</v>
      </c>
      <c r="L60" s="19">
        <v>1306</v>
      </c>
      <c r="M60" s="19">
        <v>497</v>
      </c>
      <c r="N60" s="19">
        <f t="shared" si="4"/>
        <v>2080</v>
      </c>
      <c r="O60" s="23">
        <v>2.1</v>
      </c>
      <c r="P60" s="19">
        <v>10</v>
      </c>
      <c r="Q60" s="19">
        <v>0</v>
      </c>
      <c r="R60" s="19">
        <v>57.1</v>
      </c>
      <c r="S60" s="3">
        <f t="shared" si="5"/>
        <v>2014873.6989566952</v>
      </c>
      <c r="T60" s="19">
        <v>0</v>
      </c>
      <c r="U60" s="15">
        <f t="shared" si="9"/>
        <v>0</v>
      </c>
      <c r="V60" s="15">
        <v>0</v>
      </c>
      <c r="W60" s="15">
        <f t="shared" si="10"/>
        <v>0</v>
      </c>
      <c r="X60" s="19">
        <f>SUMIF(V$92:V$108,C60,X$92:X$108)</f>
        <v>9</v>
      </c>
      <c r="Y60" s="76">
        <f>SUMIF(V$92:V$108,C60,Y$92:Y$108)</f>
        <v>7.8</v>
      </c>
      <c r="Z60" s="15">
        <f>ROUND((X60*L$97+Y60*L$98),0)+SUMIF(V$92:V$108,C60,Z$92:Z$108)</f>
        <v>21818.372369899313</v>
      </c>
      <c r="AA60" s="19">
        <v>0</v>
      </c>
      <c r="AB60" s="19">
        <f t="shared" si="11"/>
        <v>0</v>
      </c>
      <c r="AC60" s="19"/>
      <c r="AD60" s="19">
        <f t="shared" si="6"/>
        <v>0</v>
      </c>
      <c r="AE60" s="19">
        <f t="shared" si="7"/>
        <v>21818</v>
      </c>
      <c r="AF60" s="19">
        <v>20745</v>
      </c>
      <c r="AG60" s="19">
        <f t="shared" si="8"/>
        <v>1073</v>
      </c>
      <c r="AH60" s="114"/>
      <c r="AJ60" s="80"/>
      <c r="AK60" s="80"/>
      <c r="AN60" s="80"/>
      <c r="AO60" s="80"/>
    </row>
    <row r="61" spans="1:41" x14ac:dyDescent="0.25">
      <c r="A61" s="26" t="s">
        <v>20</v>
      </c>
      <c r="B61" s="5" t="s">
        <v>215</v>
      </c>
      <c r="C61" s="5" t="s">
        <v>19</v>
      </c>
      <c r="D61" s="19">
        <v>160121</v>
      </c>
      <c r="E61" s="19">
        <v>176154</v>
      </c>
      <c r="F61" s="19">
        <v>205171</v>
      </c>
      <c r="G61" s="19">
        <v>2422</v>
      </c>
      <c r="H61" s="4">
        <f t="shared" si="3"/>
        <v>189877.9</v>
      </c>
      <c r="I61" s="19">
        <v>8</v>
      </c>
      <c r="J61" s="19">
        <v>14</v>
      </c>
      <c r="K61" s="19">
        <v>8</v>
      </c>
      <c r="L61" s="19">
        <v>116</v>
      </c>
      <c r="M61" s="19">
        <v>35</v>
      </c>
      <c r="N61" s="19">
        <f t="shared" si="4"/>
        <v>173</v>
      </c>
      <c r="O61" s="23">
        <v>2.1</v>
      </c>
      <c r="P61" s="19"/>
      <c r="Q61" s="19">
        <v>0</v>
      </c>
      <c r="R61" s="19">
        <v>0</v>
      </c>
      <c r="S61" s="3">
        <f t="shared" si="5"/>
        <v>153272.95111381172</v>
      </c>
      <c r="T61" s="19">
        <v>0</v>
      </c>
      <c r="U61" s="15">
        <f t="shared" si="9"/>
        <v>0</v>
      </c>
      <c r="V61" s="15">
        <v>0</v>
      </c>
      <c r="W61" s="15">
        <f t="shared" si="10"/>
        <v>0</v>
      </c>
      <c r="X61" s="19">
        <f>SUMIF(V$92:V$108,C61,X$92:X$108)</f>
        <v>173</v>
      </c>
      <c r="Y61" s="76">
        <f>SUMIF(V$92:V$108,C61,Y$92:Y$108)</f>
        <v>69.7</v>
      </c>
      <c r="Z61" s="15">
        <f>ROUND((X61*L$97+Y61*L$98),0)+SUMIF(V$92:V$108,C61,Z$92:Z$108)</f>
        <v>99293.372369899313</v>
      </c>
      <c r="AA61" s="19">
        <v>0</v>
      </c>
      <c r="AB61" s="19">
        <f t="shared" si="11"/>
        <v>0</v>
      </c>
      <c r="AC61" s="19"/>
      <c r="AD61" s="19">
        <f t="shared" si="6"/>
        <v>0</v>
      </c>
      <c r="AE61" s="19">
        <f t="shared" si="7"/>
        <v>99293</v>
      </c>
      <c r="AF61" s="19">
        <v>95726</v>
      </c>
      <c r="AG61" s="19">
        <f t="shared" si="8"/>
        <v>3567</v>
      </c>
      <c r="AH61" s="114"/>
      <c r="AJ61" s="80"/>
      <c r="AK61" s="80"/>
      <c r="AN61" s="80"/>
      <c r="AO61" s="80"/>
    </row>
    <row r="62" spans="1:41" x14ac:dyDescent="0.25">
      <c r="A62" s="26" t="s">
        <v>20</v>
      </c>
      <c r="B62" s="5" t="s">
        <v>597</v>
      </c>
      <c r="C62" s="5" t="s">
        <v>22</v>
      </c>
      <c r="D62" s="19">
        <v>26396021</v>
      </c>
      <c r="E62" s="19">
        <v>27886920</v>
      </c>
      <c r="F62" s="19">
        <v>30893995</v>
      </c>
      <c r="G62" s="19">
        <v>1599502</v>
      </c>
      <c r="H62" s="4">
        <f t="shared" si="3"/>
        <v>30691779.699999999</v>
      </c>
      <c r="I62" s="19">
        <v>2126</v>
      </c>
      <c r="J62" s="19">
        <v>4003</v>
      </c>
      <c r="K62" s="19">
        <v>3041</v>
      </c>
      <c r="L62" s="19">
        <v>19284</v>
      </c>
      <c r="M62" s="19">
        <v>6883</v>
      </c>
      <c r="N62" s="19">
        <f t="shared" si="4"/>
        <v>32296</v>
      </c>
      <c r="O62" s="23">
        <v>1.54</v>
      </c>
      <c r="P62" s="19">
        <v>253</v>
      </c>
      <c r="Q62" s="19">
        <v>0</v>
      </c>
      <c r="R62" s="19">
        <v>608.40000000000009</v>
      </c>
      <c r="S62" s="3">
        <f t="shared" si="5"/>
        <v>33644955.139674895</v>
      </c>
      <c r="T62" s="19">
        <v>2138949</v>
      </c>
      <c r="U62" s="15">
        <f t="shared" si="9"/>
        <v>2657858</v>
      </c>
      <c r="V62" s="15">
        <v>56363.270464628236</v>
      </c>
      <c r="W62" s="15">
        <f t="shared" si="10"/>
        <v>2714221.270464628</v>
      </c>
      <c r="X62" s="19">
        <f>SUMIF(V$92:V$108,C62,X$92:X$108)</f>
        <v>91</v>
      </c>
      <c r="Y62" s="76">
        <f>SUMIF(V$92:V$108,C62,Y$92:Y$108)</f>
        <v>19</v>
      </c>
      <c r="Z62" s="15">
        <f>ROUND((X62*L$97+Y62*L$98),0)+SUMIF(V$92:V$108,C62,Z$92:Z$108)</f>
        <v>77435.117109697923</v>
      </c>
      <c r="AA62" s="19">
        <v>20925</v>
      </c>
      <c r="AB62" s="19">
        <f t="shared" si="11"/>
        <v>16280</v>
      </c>
      <c r="AC62" s="19"/>
      <c r="AD62" s="19">
        <f t="shared" si="6"/>
        <v>0</v>
      </c>
      <c r="AE62" s="19">
        <f t="shared" si="7"/>
        <v>2807936</v>
      </c>
      <c r="AF62" s="19">
        <v>2288324</v>
      </c>
      <c r="AG62" s="19">
        <f t="shared" si="8"/>
        <v>519612</v>
      </c>
      <c r="AH62" s="114"/>
      <c r="AJ62" s="80"/>
      <c r="AK62" s="80"/>
      <c r="AN62" s="80"/>
      <c r="AO62" s="80"/>
    </row>
    <row r="63" spans="1:41" x14ac:dyDescent="0.25">
      <c r="A63" s="6" t="s">
        <v>13</v>
      </c>
      <c r="B63" s="5" t="s">
        <v>598</v>
      </c>
      <c r="C63" s="5" t="s">
        <v>18</v>
      </c>
      <c r="D63" s="19">
        <v>11805144</v>
      </c>
      <c r="E63" s="19">
        <v>12696744</v>
      </c>
      <c r="F63" s="19">
        <v>14275904</v>
      </c>
      <c r="G63" s="19">
        <v>414289</v>
      </c>
      <c r="H63" s="4">
        <f t="shared" si="3"/>
        <v>13722293</v>
      </c>
      <c r="I63" s="19">
        <v>1165</v>
      </c>
      <c r="J63" s="19">
        <v>2103</v>
      </c>
      <c r="K63" s="19">
        <v>1624</v>
      </c>
      <c r="L63" s="19">
        <v>8288</v>
      </c>
      <c r="M63" s="19">
        <v>3151</v>
      </c>
      <c r="N63" s="19">
        <f t="shared" si="4"/>
        <v>14707</v>
      </c>
      <c r="O63" s="23">
        <v>1.59</v>
      </c>
      <c r="P63" s="19">
        <v>261</v>
      </c>
      <c r="Q63" s="19">
        <v>19</v>
      </c>
      <c r="R63" s="19">
        <v>591.79999999999995</v>
      </c>
      <c r="S63" s="3">
        <f t="shared" si="5"/>
        <v>16910164.868454698</v>
      </c>
      <c r="T63" s="19">
        <v>2975013</v>
      </c>
      <c r="U63" s="15">
        <f t="shared" si="9"/>
        <v>2869085</v>
      </c>
      <c r="V63" s="15">
        <v>13541.462971240748</v>
      </c>
      <c r="W63" s="15">
        <f t="shared" si="10"/>
        <v>2882626.4629712407</v>
      </c>
      <c r="X63" s="18"/>
      <c r="Y63" s="76"/>
      <c r="Z63" s="18"/>
      <c r="AA63" s="19">
        <v>0</v>
      </c>
      <c r="AB63" s="19">
        <f t="shared" si="11"/>
        <v>0</v>
      </c>
      <c r="AC63" s="19"/>
      <c r="AD63" s="19">
        <f t="shared" si="6"/>
        <v>0</v>
      </c>
      <c r="AE63" s="19">
        <f t="shared" si="7"/>
        <v>2882626</v>
      </c>
      <c r="AF63" s="19">
        <v>2988554</v>
      </c>
      <c r="AG63" s="19">
        <f t="shared" si="8"/>
        <v>-105928</v>
      </c>
      <c r="AH63" s="114"/>
      <c r="AJ63" s="80"/>
      <c r="AK63" s="80"/>
      <c r="AN63" s="80"/>
      <c r="AO63" s="80"/>
    </row>
    <row r="64" spans="1:41" x14ac:dyDescent="0.25">
      <c r="A64" s="6" t="s">
        <v>13</v>
      </c>
      <c r="B64" s="5" t="s">
        <v>198</v>
      </c>
      <c r="C64" s="5" t="s">
        <v>12</v>
      </c>
      <c r="D64" s="19">
        <v>12740711</v>
      </c>
      <c r="E64" s="19">
        <v>14644232</v>
      </c>
      <c r="F64" s="19">
        <v>17312505</v>
      </c>
      <c r="G64" s="19">
        <v>282506</v>
      </c>
      <c r="H64" s="4">
        <f t="shared" si="3"/>
        <v>15880170.300000001</v>
      </c>
      <c r="I64" s="19">
        <v>1596</v>
      </c>
      <c r="J64" s="19">
        <v>2268</v>
      </c>
      <c r="K64" s="19">
        <v>1813</v>
      </c>
      <c r="L64" s="19">
        <v>8045</v>
      </c>
      <c r="M64" s="19">
        <v>1525</v>
      </c>
      <c r="N64" s="19">
        <f t="shared" si="4"/>
        <v>13434</v>
      </c>
      <c r="O64" s="23">
        <v>1.45</v>
      </c>
      <c r="P64" s="19">
        <v>278</v>
      </c>
      <c r="Q64" s="19">
        <v>8</v>
      </c>
      <c r="R64" s="19">
        <v>171.3</v>
      </c>
      <c r="S64" s="3">
        <f t="shared" si="5"/>
        <v>17257088.340109024</v>
      </c>
      <c r="T64" s="19">
        <v>1713193</v>
      </c>
      <c r="U64" s="15">
        <f t="shared" si="9"/>
        <v>1368051.2331978194</v>
      </c>
      <c r="V64" s="15">
        <v>0</v>
      </c>
      <c r="W64" s="15">
        <f t="shared" si="10"/>
        <v>1368051.2331978194</v>
      </c>
      <c r="X64" s="18"/>
      <c r="Y64" s="76"/>
      <c r="Z64" s="18"/>
      <c r="AA64" s="19">
        <v>0</v>
      </c>
      <c r="AB64" s="19">
        <f t="shared" si="11"/>
        <v>0</v>
      </c>
      <c r="AC64" s="19">
        <v>1</v>
      </c>
      <c r="AD64" s="19">
        <f t="shared" si="6"/>
        <v>5729.076648504586</v>
      </c>
      <c r="AE64" s="19">
        <f t="shared" si="7"/>
        <v>1373780</v>
      </c>
      <c r="AF64" s="19">
        <v>1718640</v>
      </c>
      <c r="AG64" s="19">
        <f t="shared" si="8"/>
        <v>-344860</v>
      </c>
      <c r="AH64" s="114"/>
      <c r="AJ64" s="80"/>
      <c r="AK64" s="80"/>
      <c r="AN64" s="80"/>
      <c r="AO64" s="80"/>
    </row>
    <row r="65" spans="1:41" x14ac:dyDescent="0.25">
      <c r="A65" s="6" t="s">
        <v>13</v>
      </c>
      <c r="B65" s="5" t="s">
        <v>599</v>
      </c>
      <c r="C65" s="5" t="s">
        <v>16</v>
      </c>
      <c r="D65" s="19">
        <v>4824678</v>
      </c>
      <c r="E65" s="19">
        <v>5429608</v>
      </c>
      <c r="F65" s="19">
        <v>6452030</v>
      </c>
      <c r="G65" s="19">
        <v>205315</v>
      </c>
      <c r="H65" s="4">
        <f t="shared" si="3"/>
        <v>6025148</v>
      </c>
      <c r="I65" s="19">
        <v>657</v>
      </c>
      <c r="J65" s="19">
        <v>819</v>
      </c>
      <c r="K65" s="19">
        <v>624</v>
      </c>
      <c r="L65" s="19">
        <v>3695</v>
      </c>
      <c r="M65" s="19">
        <v>929</v>
      </c>
      <c r="N65" s="19">
        <f t="shared" si="4"/>
        <v>6100</v>
      </c>
      <c r="O65" s="23">
        <v>2.08</v>
      </c>
      <c r="P65" s="19">
        <v>121</v>
      </c>
      <c r="Q65" s="19">
        <v>5</v>
      </c>
      <c r="R65" s="19">
        <v>170.5</v>
      </c>
      <c r="S65" s="3">
        <f t="shared" si="5"/>
        <v>7798977.2177560963</v>
      </c>
      <c r="T65" s="19">
        <v>1488381</v>
      </c>
      <c r="U65" s="15">
        <f t="shared" si="9"/>
        <v>1596446</v>
      </c>
      <c r="V65" s="15">
        <v>0</v>
      </c>
      <c r="W65" s="15">
        <f t="shared" si="10"/>
        <v>1596446</v>
      </c>
      <c r="X65" s="18"/>
      <c r="Y65" s="76"/>
      <c r="Z65" s="18"/>
      <c r="AA65" s="19">
        <v>1246</v>
      </c>
      <c r="AB65" s="19">
        <f t="shared" si="11"/>
        <v>969</v>
      </c>
      <c r="AC65" s="19"/>
      <c r="AD65" s="19">
        <f t="shared" si="6"/>
        <v>0</v>
      </c>
      <c r="AE65" s="19">
        <f t="shared" si="7"/>
        <v>1597415</v>
      </c>
      <c r="AF65" s="19">
        <v>1489627</v>
      </c>
      <c r="AG65" s="19">
        <f t="shared" si="8"/>
        <v>107788</v>
      </c>
      <c r="AH65" s="114"/>
      <c r="AJ65" s="80"/>
      <c r="AK65" s="80"/>
      <c r="AN65" s="80"/>
      <c r="AO65" s="80"/>
    </row>
    <row r="66" spans="1:41" x14ac:dyDescent="0.25">
      <c r="A66" s="6" t="s">
        <v>13</v>
      </c>
      <c r="B66" s="5" t="s">
        <v>192</v>
      </c>
      <c r="C66" s="5" t="s">
        <v>14</v>
      </c>
      <c r="D66" s="19">
        <v>5321880</v>
      </c>
      <c r="E66" s="19">
        <v>5962003</v>
      </c>
      <c r="F66" s="19">
        <v>7002357</v>
      </c>
      <c r="G66" s="19">
        <v>96318</v>
      </c>
      <c r="H66" s="4">
        <f t="shared" si="3"/>
        <v>6450473.4000000004</v>
      </c>
      <c r="I66" s="19">
        <v>612</v>
      </c>
      <c r="J66" s="19">
        <v>926</v>
      </c>
      <c r="K66" s="19">
        <v>718</v>
      </c>
      <c r="L66" s="19">
        <v>3584</v>
      </c>
      <c r="M66" s="19">
        <v>615</v>
      </c>
      <c r="N66" s="19">
        <f t="shared" si="4"/>
        <v>5737</v>
      </c>
      <c r="O66" s="23">
        <v>1.55</v>
      </c>
      <c r="P66" s="19">
        <v>157</v>
      </c>
      <c r="Q66" s="19">
        <v>4</v>
      </c>
      <c r="R66" s="19">
        <v>38.6</v>
      </c>
      <c r="S66" s="3">
        <f t="shared" si="5"/>
        <v>7205388.7727039205</v>
      </c>
      <c r="T66" s="19">
        <v>780502</v>
      </c>
      <c r="U66" s="15">
        <f t="shared" si="9"/>
        <v>679424</v>
      </c>
      <c r="V66" s="15">
        <v>0</v>
      </c>
      <c r="W66" s="15">
        <f t="shared" si="10"/>
        <v>679424</v>
      </c>
      <c r="X66" s="18"/>
      <c r="Y66" s="76"/>
      <c r="Z66" s="18"/>
      <c r="AA66" s="19">
        <v>2994</v>
      </c>
      <c r="AB66" s="19">
        <f t="shared" si="11"/>
        <v>2329</v>
      </c>
      <c r="AC66" s="19"/>
      <c r="AD66" s="19">
        <f t="shared" si="6"/>
        <v>0</v>
      </c>
      <c r="AE66" s="19">
        <f t="shared" si="7"/>
        <v>681753</v>
      </c>
      <c r="AF66" s="19">
        <v>783496</v>
      </c>
      <c r="AG66" s="19">
        <f t="shared" si="8"/>
        <v>-101743</v>
      </c>
      <c r="AH66" s="114"/>
      <c r="AJ66" s="80"/>
      <c r="AK66" s="80"/>
      <c r="AN66" s="80"/>
      <c r="AO66" s="80"/>
    </row>
    <row r="67" spans="1:41" x14ac:dyDescent="0.25">
      <c r="A67" s="6" t="s">
        <v>13</v>
      </c>
      <c r="B67" s="5" t="s">
        <v>186</v>
      </c>
      <c r="C67" s="5" t="s">
        <v>17</v>
      </c>
      <c r="D67" s="19">
        <v>4082053</v>
      </c>
      <c r="E67" s="19">
        <v>4418050</v>
      </c>
      <c r="F67" s="19">
        <v>4890523</v>
      </c>
      <c r="G67" s="19">
        <v>122556</v>
      </c>
      <c r="H67" s="4">
        <f t="shared" si="3"/>
        <v>4709643.0999999996</v>
      </c>
      <c r="I67" s="19">
        <v>393</v>
      </c>
      <c r="J67" s="19">
        <v>697</v>
      </c>
      <c r="K67" s="19">
        <v>534</v>
      </c>
      <c r="L67" s="19">
        <v>2612</v>
      </c>
      <c r="M67" s="19">
        <v>741</v>
      </c>
      <c r="N67" s="19">
        <f t="shared" si="4"/>
        <v>4443</v>
      </c>
      <c r="O67" s="23">
        <v>1.8</v>
      </c>
      <c r="P67" s="19">
        <v>72</v>
      </c>
      <c r="Q67" s="19">
        <v>2</v>
      </c>
      <c r="R67" s="19">
        <v>99</v>
      </c>
      <c r="S67" s="3">
        <f t="shared" si="5"/>
        <v>5410708.5512121618</v>
      </c>
      <c r="T67" s="19">
        <v>633089</v>
      </c>
      <c r="U67" s="15">
        <f t="shared" si="9"/>
        <v>630959</v>
      </c>
      <c r="V67" s="15">
        <v>0</v>
      </c>
      <c r="W67" s="15">
        <f t="shared" si="10"/>
        <v>630959</v>
      </c>
      <c r="X67" s="18"/>
      <c r="Y67" s="76"/>
      <c r="Z67" s="18"/>
      <c r="AA67" s="19">
        <v>241</v>
      </c>
      <c r="AB67" s="19">
        <f t="shared" si="11"/>
        <v>187</v>
      </c>
      <c r="AC67" s="19"/>
      <c r="AD67" s="19">
        <f t="shared" si="6"/>
        <v>0</v>
      </c>
      <c r="AE67" s="19">
        <f t="shared" si="7"/>
        <v>631146</v>
      </c>
      <c r="AF67" s="19">
        <v>633330</v>
      </c>
      <c r="AG67" s="19">
        <f t="shared" si="8"/>
        <v>-2184</v>
      </c>
      <c r="AH67" s="114"/>
      <c r="AJ67" s="80"/>
      <c r="AK67" s="80"/>
      <c r="AN67" s="80"/>
      <c r="AO67" s="80"/>
    </row>
    <row r="68" spans="1:41" x14ac:dyDescent="0.25">
      <c r="A68" s="6" t="s">
        <v>13</v>
      </c>
      <c r="B68" s="5" t="s">
        <v>184</v>
      </c>
      <c r="C68" s="5" t="s">
        <v>513</v>
      </c>
      <c r="D68" s="19">
        <v>3769239</v>
      </c>
      <c r="E68" s="19">
        <v>4029504</v>
      </c>
      <c r="F68" s="19">
        <v>4417012</v>
      </c>
      <c r="G68" s="19">
        <v>317739</v>
      </c>
      <c r="H68" s="4">
        <f t="shared" si="3"/>
        <v>4488944</v>
      </c>
      <c r="I68" s="19">
        <v>322</v>
      </c>
      <c r="J68" s="19">
        <v>569</v>
      </c>
      <c r="K68" s="19">
        <v>412</v>
      </c>
      <c r="L68" s="19">
        <v>3119</v>
      </c>
      <c r="M68" s="19">
        <v>1319</v>
      </c>
      <c r="N68" s="19">
        <f t="shared" si="4"/>
        <v>5329</v>
      </c>
      <c r="O68" s="23">
        <v>2.08</v>
      </c>
      <c r="P68" s="19">
        <v>73</v>
      </c>
      <c r="Q68" s="19">
        <v>0</v>
      </c>
      <c r="R68" s="19">
        <v>243.90000000000003</v>
      </c>
      <c r="S68" s="3">
        <f t="shared" si="5"/>
        <v>5683791.7030830057</v>
      </c>
      <c r="T68" s="19">
        <v>1133866</v>
      </c>
      <c r="U68" s="15">
        <f t="shared" ref="U68:U82" si="12">IF(ROUND(IF((S68-H68)&lt;0,0,S68-H68)*U$84,0)-T68&lt;-S68*0.02,T68-S68*0.02,ROUND(IF((S68-H68)&lt;0,0,S68-H68)*U$84,0))</f>
        <v>1075363</v>
      </c>
      <c r="V68" s="15">
        <v>0</v>
      </c>
      <c r="W68" s="15">
        <f t="shared" ref="W68:W82" si="13">U68+V68</f>
        <v>1075363</v>
      </c>
      <c r="X68" s="18"/>
      <c r="Y68" s="76"/>
      <c r="Z68" s="18"/>
      <c r="AA68" s="19">
        <v>0</v>
      </c>
      <c r="AB68" s="19">
        <f t="shared" ref="AB68:AB82" si="14">ROUND(AA68*AB$84,0)</f>
        <v>0</v>
      </c>
      <c r="AC68" s="19"/>
      <c r="AD68" s="19">
        <f t="shared" si="6"/>
        <v>0</v>
      </c>
      <c r="AE68" s="19">
        <f t="shared" si="7"/>
        <v>1075363</v>
      </c>
      <c r="AF68" s="19">
        <v>1133866</v>
      </c>
      <c r="AG68" s="19">
        <f t="shared" si="8"/>
        <v>-58503</v>
      </c>
      <c r="AH68" s="114"/>
      <c r="AJ68" s="80"/>
      <c r="AK68" s="80"/>
      <c r="AN68" s="80"/>
      <c r="AO68" s="80"/>
    </row>
    <row r="69" spans="1:41" x14ac:dyDescent="0.25">
      <c r="A69" s="6" t="s">
        <v>13</v>
      </c>
      <c r="B69" s="5" t="s">
        <v>174</v>
      </c>
      <c r="C69" s="5" t="s">
        <v>13</v>
      </c>
      <c r="D69" s="19">
        <v>11196509</v>
      </c>
      <c r="E69" s="19">
        <v>12528516</v>
      </c>
      <c r="F69" s="19">
        <v>14746492</v>
      </c>
      <c r="G69" s="19">
        <v>383635</v>
      </c>
      <c r="H69" s="4">
        <f t="shared" ref="H69:H82" si="15">0.2*D69+0.3*E69+0.5*F69+G69</f>
        <v>13754737.6</v>
      </c>
      <c r="I69" s="19">
        <v>1390</v>
      </c>
      <c r="J69" s="19">
        <v>1919</v>
      </c>
      <c r="K69" s="19">
        <v>1499</v>
      </c>
      <c r="L69" s="19">
        <v>7729</v>
      </c>
      <c r="M69" s="19">
        <v>1709</v>
      </c>
      <c r="N69" s="19">
        <f t="shared" ref="N69:N82" si="16">I69+J69+L69+M69</f>
        <v>12747</v>
      </c>
      <c r="O69" s="23">
        <v>1.91</v>
      </c>
      <c r="P69" s="19">
        <v>242</v>
      </c>
      <c r="Q69" s="19">
        <v>7</v>
      </c>
      <c r="R69" s="19">
        <v>327.59999999999997</v>
      </c>
      <c r="S69" s="3">
        <f t="shared" ref="S69:S82" si="17">I69*L$87+J69*L$88+L69*L$92+M69*L$93+R69*L$95+K69*(($O69-1)*0.75+1)*L$89+$P69*L$91*(($O69-1)*0.75+1)+L$90*K69*O69+Q69*L$96</f>
        <v>16472072.742314653</v>
      </c>
      <c r="T69" s="19">
        <v>2510393</v>
      </c>
      <c r="U69" s="15">
        <f t="shared" si="12"/>
        <v>2445602</v>
      </c>
      <c r="V69" s="15">
        <v>0</v>
      </c>
      <c r="W69" s="15">
        <f t="shared" si="13"/>
        <v>2445602</v>
      </c>
      <c r="X69" s="19">
        <f>SUMIF(V$92:V$108,C69,X$92:X$108)</f>
        <v>97</v>
      </c>
      <c r="Y69" s="76">
        <f>SUMIF(V$92:V$108,C69,Y$92:Y$108)</f>
        <v>8.5</v>
      </c>
      <c r="Z69" s="15">
        <f>ROUND((X69*L$97+Y69*L$98),0)+SUMIF(V$92:V$108,C69,Z$92:Z$108)</f>
        <v>42604.372369899313</v>
      </c>
      <c r="AA69" s="19">
        <v>19012</v>
      </c>
      <c r="AB69" s="19">
        <f t="shared" si="14"/>
        <v>14791</v>
      </c>
      <c r="AC69" s="19"/>
      <c r="AD69" s="19">
        <f t="shared" ref="AD69:AD82" si="18">AC69*L$100</f>
        <v>0</v>
      </c>
      <c r="AE69" s="19">
        <f t="shared" ref="AE69:AE82" si="19">ROUND(W69+Z69+AB69+AD69,0)</f>
        <v>2502997</v>
      </c>
      <c r="AF69" s="19">
        <v>2571012</v>
      </c>
      <c r="AG69" s="19">
        <f t="shared" ref="AG69:AG82" si="20">AE69-AF69</f>
        <v>-68015</v>
      </c>
      <c r="AH69" s="114"/>
      <c r="AJ69" s="80"/>
      <c r="AK69" s="80"/>
      <c r="AN69" s="80"/>
      <c r="AO69" s="80"/>
    </row>
    <row r="70" spans="1:41" x14ac:dyDescent="0.25">
      <c r="A70" s="6" t="s">
        <v>13</v>
      </c>
      <c r="B70" s="5" t="s">
        <v>15</v>
      </c>
      <c r="C70" s="5" t="s">
        <v>15</v>
      </c>
      <c r="D70" s="19">
        <v>91585613</v>
      </c>
      <c r="E70" s="19">
        <v>99234951</v>
      </c>
      <c r="F70" s="19">
        <v>111976933</v>
      </c>
      <c r="G70" s="19">
        <v>1979735</v>
      </c>
      <c r="H70" s="4">
        <f t="shared" si="15"/>
        <v>106055809.40000001</v>
      </c>
      <c r="I70" s="19">
        <v>7628</v>
      </c>
      <c r="J70" s="19">
        <v>14275</v>
      </c>
      <c r="K70" s="19">
        <v>10938</v>
      </c>
      <c r="L70" s="19">
        <v>57219</v>
      </c>
      <c r="M70" s="19">
        <v>18313</v>
      </c>
      <c r="N70" s="19">
        <f t="shared" si="16"/>
        <v>97435</v>
      </c>
      <c r="O70" s="23">
        <v>1.02</v>
      </c>
      <c r="P70" s="19">
        <v>2062</v>
      </c>
      <c r="Q70" s="19">
        <v>28</v>
      </c>
      <c r="R70" s="19">
        <v>3819.6000000000004</v>
      </c>
      <c r="S70" s="3">
        <f t="shared" si="17"/>
        <v>103747005.95808686</v>
      </c>
      <c r="T70" s="19">
        <v>2468607.8091989662</v>
      </c>
      <c r="U70" s="15">
        <f t="shared" si="12"/>
        <v>393667.69003722887</v>
      </c>
      <c r="V70" s="15">
        <v>0</v>
      </c>
      <c r="W70" s="15">
        <f t="shared" si="13"/>
        <v>393667.69003722887</v>
      </c>
      <c r="X70" s="18"/>
      <c r="Y70" s="76"/>
      <c r="Z70" s="18"/>
      <c r="AA70" s="19">
        <v>0</v>
      </c>
      <c r="AB70" s="19">
        <f t="shared" si="14"/>
        <v>0</v>
      </c>
      <c r="AC70" s="19"/>
      <c r="AD70" s="19">
        <f t="shared" si="18"/>
        <v>0</v>
      </c>
      <c r="AE70" s="19">
        <f t="shared" si="19"/>
        <v>393668</v>
      </c>
      <c r="AF70" s="19">
        <v>2468608</v>
      </c>
      <c r="AG70" s="19">
        <f t="shared" si="20"/>
        <v>-2074940</v>
      </c>
      <c r="AH70" s="114"/>
      <c r="AJ70" s="80"/>
      <c r="AK70" s="80"/>
      <c r="AN70" s="80"/>
      <c r="AO70" s="80"/>
    </row>
    <row r="71" spans="1:41" x14ac:dyDescent="0.25">
      <c r="A71" s="6" t="s">
        <v>10</v>
      </c>
      <c r="B71" s="5" t="s">
        <v>154</v>
      </c>
      <c r="C71" s="5" t="s">
        <v>11</v>
      </c>
      <c r="D71" s="19">
        <v>5405586</v>
      </c>
      <c r="E71" s="19">
        <v>5729561</v>
      </c>
      <c r="F71" s="19">
        <v>6387234</v>
      </c>
      <c r="G71" s="19">
        <v>207854</v>
      </c>
      <c r="H71" s="4">
        <f t="shared" si="15"/>
        <v>6201456.5</v>
      </c>
      <c r="I71" s="19">
        <v>473</v>
      </c>
      <c r="J71" s="19">
        <v>816</v>
      </c>
      <c r="K71" s="19">
        <v>630</v>
      </c>
      <c r="L71" s="19">
        <v>3810</v>
      </c>
      <c r="M71" s="19">
        <v>1442</v>
      </c>
      <c r="N71" s="19">
        <f t="shared" si="16"/>
        <v>6541</v>
      </c>
      <c r="O71" s="23">
        <v>1.9</v>
      </c>
      <c r="P71" s="19">
        <v>94</v>
      </c>
      <c r="Q71" s="19">
        <v>0</v>
      </c>
      <c r="R71" s="19">
        <v>195.29999999999998</v>
      </c>
      <c r="S71" s="3">
        <f t="shared" si="17"/>
        <v>7382422.9600159088</v>
      </c>
      <c r="T71" s="19">
        <v>1044582</v>
      </c>
      <c r="U71" s="15">
        <f t="shared" si="12"/>
        <v>1062870</v>
      </c>
      <c r="V71" s="15">
        <v>0</v>
      </c>
      <c r="W71" s="15">
        <f t="shared" si="13"/>
        <v>1062870</v>
      </c>
      <c r="X71" s="18"/>
      <c r="Y71" s="76"/>
      <c r="Z71" s="18"/>
      <c r="AA71" s="19">
        <v>0</v>
      </c>
      <c r="AB71" s="19">
        <f t="shared" si="14"/>
        <v>0</v>
      </c>
      <c r="AC71" s="19"/>
      <c r="AD71" s="19">
        <f t="shared" si="18"/>
        <v>0</v>
      </c>
      <c r="AE71" s="19">
        <f t="shared" si="19"/>
        <v>1062870</v>
      </c>
      <c r="AF71" s="19">
        <v>1044582</v>
      </c>
      <c r="AG71" s="19">
        <f t="shared" si="20"/>
        <v>18288</v>
      </c>
      <c r="AH71" s="114"/>
      <c r="AJ71" s="80"/>
      <c r="AK71" s="80"/>
      <c r="AN71" s="80"/>
      <c r="AO71" s="80"/>
    </row>
    <row r="72" spans="1:41" x14ac:dyDescent="0.25">
      <c r="A72" s="6" t="s">
        <v>10</v>
      </c>
      <c r="B72" s="5" t="s">
        <v>600</v>
      </c>
      <c r="C72" s="5" t="s">
        <v>9</v>
      </c>
      <c r="D72" s="19">
        <v>4508215</v>
      </c>
      <c r="E72" s="19">
        <v>4910538</v>
      </c>
      <c r="F72" s="19">
        <v>5199615</v>
      </c>
      <c r="G72" s="19">
        <v>307482</v>
      </c>
      <c r="H72" s="4">
        <f t="shared" si="15"/>
        <v>5282093.9000000004</v>
      </c>
      <c r="I72" s="19">
        <v>380</v>
      </c>
      <c r="J72" s="19">
        <v>746</v>
      </c>
      <c r="K72" s="19">
        <v>545</v>
      </c>
      <c r="L72" s="19">
        <v>3352</v>
      </c>
      <c r="M72" s="19">
        <v>1451</v>
      </c>
      <c r="N72" s="19">
        <f t="shared" si="16"/>
        <v>5929</v>
      </c>
      <c r="O72" s="23">
        <v>1.65</v>
      </c>
      <c r="P72" s="19">
        <v>88</v>
      </c>
      <c r="Q72" s="19">
        <v>7</v>
      </c>
      <c r="R72" s="19">
        <v>274.3</v>
      </c>
      <c r="S72" s="3">
        <f t="shared" si="17"/>
        <v>6341349.3648846196</v>
      </c>
      <c r="T72" s="19">
        <v>986425</v>
      </c>
      <c r="U72" s="15">
        <f t="shared" si="12"/>
        <v>953330</v>
      </c>
      <c r="V72" s="15">
        <v>0</v>
      </c>
      <c r="W72" s="15">
        <f t="shared" si="13"/>
        <v>953330</v>
      </c>
      <c r="X72" s="18"/>
      <c r="Y72" s="76"/>
      <c r="Z72" s="18"/>
      <c r="AA72" s="19">
        <v>260</v>
      </c>
      <c r="AB72" s="19">
        <f t="shared" si="14"/>
        <v>202</v>
      </c>
      <c r="AC72" s="19"/>
      <c r="AD72" s="19">
        <f t="shared" si="18"/>
        <v>0</v>
      </c>
      <c r="AE72" s="19">
        <f t="shared" si="19"/>
        <v>953532</v>
      </c>
      <c r="AF72" s="19">
        <v>986685</v>
      </c>
      <c r="AG72" s="19">
        <f t="shared" si="20"/>
        <v>-33153</v>
      </c>
      <c r="AH72" s="114"/>
      <c r="AJ72" s="80"/>
      <c r="AK72" s="80"/>
      <c r="AN72" s="80"/>
      <c r="AO72" s="80"/>
    </row>
    <row r="73" spans="1:41" x14ac:dyDescent="0.25">
      <c r="A73" s="6" t="s">
        <v>10</v>
      </c>
      <c r="B73" s="5" t="s">
        <v>601</v>
      </c>
      <c r="C73" s="5" t="s">
        <v>10</v>
      </c>
      <c r="D73" s="19">
        <v>9584275</v>
      </c>
      <c r="E73" s="19">
        <v>9965011</v>
      </c>
      <c r="F73" s="19">
        <v>10761584</v>
      </c>
      <c r="G73" s="19">
        <v>392218</v>
      </c>
      <c r="H73" s="4">
        <f t="shared" si="15"/>
        <v>10679368.300000001</v>
      </c>
      <c r="I73" s="19">
        <v>934</v>
      </c>
      <c r="J73" s="19">
        <v>2021</v>
      </c>
      <c r="K73" s="19">
        <v>1492</v>
      </c>
      <c r="L73" s="19">
        <v>8784</v>
      </c>
      <c r="M73" s="19">
        <v>3717</v>
      </c>
      <c r="N73" s="19">
        <f t="shared" si="16"/>
        <v>15456</v>
      </c>
      <c r="O73" s="23">
        <v>1.22</v>
      </c>
      <c r="P73" s="19">
        <v>52</v>
      </c>
      <c r="Q73" s="19">
        <v>39</v>
      </c>
      <c r="R73" s="19">
        <v>520.6</v>
      </c>
      <c r="S73" s="3">
        <f t="shared" si="17"/>
        <v>15340032.350844905</v>
      </c>
      <c r="T73" s="19">
        <v>3874250</v>
      </c>
      <c r="U73" s="15">
        <f t="shared" si="12"/>
        <v>4194598</v>
      </c>
      <c r="V73" s="15">
        <v>0</v>
      </c>
      <c r="W73" s="15">
        <f t="shared" si="13"/>
        <v>4194598</v>
      </c>
      <c r="X73" s="18"/>
      <c r="Y73" s="76"/>
      <c r="Z73" s="18"/>
      <c r="AA73" s="19">
        <v>0</v>
      </c>
      <c r="AB73" s="19">
        <f t="shared" si="14"/>
        <v>0</v>
      </c>
      <c r="AC73" s="19"/>
      <c r="AD73" s="19">
        <f t="shared" si="18"/>
        <v>0</v>
      </c>
      <c r="AE73" s="19">
        <f t="shared" si="19"/>
        <v>4194598</v>
      </c>
      <c r="AF73" s="19">
        <v>3874250</v>
      </c>
      <c r="AG73" s="19">
        <f t="shared" si="20"/>
        <v>320348</v>
      </c>
      <c r="AH73" s="114"/>
      <c r="AJ73" s="80"/>
      <c r="AK73" s="80"/>
      <c r="AN73" s="80"/>
      <c r="AO73" s="80"/>
    </row>
    <row r="74" spans="1:41" x14ac:dyDescent="0.25">
      <c r="A74" s="6" t="s">
        <v>6</v>
      </c>
      <c r="B74" s="5" t="s">
        <v>602</v>
      </c>
      <c r="C74" s="5" t="s">
        <v>7</v>
      </c>
      <c r="D74" s="19">
        <v>5321201</v>
      </c>
      <c r="E74" s="19">
        <v>5273896</v>
      </c>
      <c r="F74" s="19">
        <v>5900249</v>
      </c>
      <c r="G74" s="19">
        <v>445340</v>
      </c>
      <c r="H74" s="4">
        <f t="shared" si="15"/>
        <v>6041873.5</v>
      </c>
      <c r="I74" s="19">
        <v>426</v>
      </c>
      <c r="J74" s="19">
        <v>817</v>
      </c>
      <c r="K74" s="19">
        <v>617</v>
      </c>
      <c r="L74" s="19">
        <v>4069</v>
      </c>
      <c r="M74" s="19">
        <v>1956</v>
      </c>
      <c r="N74" s="19">
        <f t="shared" si="16"/>
        <v>7268</v>
      </c>
      <c r="O74" s="23">
        <v>2.0099999999999998</v>
      </c>
      <c r="P74" s="19">
        <v>101</v>
      </c>
      <c r="Q74" s="19">
        <v>35</v>
      </c>
      <c r="R74" s="19">
        <v>200.2</v>
      </c>
      <c r="S74" s="3">
        <f t="shared" si="17"/>
        <v>7857220.7742560571</v>
      </c>
      <c r="T74" s="19">
        <v>1674194</v>
      </c>
      <c r="U74" s="15">
        <f t="shared" si="12"/>
        <v>1633813</v>
      </c>
      <c r="V74" s="15">
        <v>0</v>
      </c>
      <c r="W74" s="15">
        <f t="shared" si="13"/>
        <v>1633813</v>
      </c>
      <c r="X74" s="18"/>
      <c r="Y74" s="76"/>
      <c r="Z74" s="18"/>
      <c r="AA74" s="19">
        <v>0</v>
      </c>
      <c r="AB74" s="19">
        <f t="shared" si="14"/>
        <v>0</v>
      </c>
      <c r="AC74" s="19"/>
      <c r="AD74" s="19">
        <f t="shared" si="18"/>
        <v>0</v>
      </c>
      <c r="AE74" s="19">
        <f t="shared" si="19"/>
        <v>1633813</v>
      </c>
      <c r="AF74" s="19">
        <v>1674194</v>
      </c>
      <c r="AG74" s="19">
        <f t="shared" si="20"/>
        <v>-40381</v>
      </c>
      <c r="AH74" s="114"/>
      <c r="AJ74" s="80"/>
      <c r="AK74" s="80"/>
      <c r="AN74" s="80"/>
      <c r="AO74" s="80"/>
    </row>
    <row r="75" spans="1:41" x14ac:dyDescent="0.25">
      <c r="A75" s="6" t="s">
        <v>6</v>
      </c>
      <c r="B75" s="5" t="s">
        <v>603</v>
      </c>
      <c r="C75" s="5" t="s">
        <v>8</v>
      </c>
      <c r="D75" s="19">
        <v>6096408</v>
      </c>
      <c r="E75" s="19">
        <v>6389409</v>
      </c>
      <c r="F75" s="19">
        <v>7056606</v>
      </c>
      <c r="G75" s="19">
        <v>420300</v>
      </c>
      <c r="H75" s="4">
        <f t="shared" si="15"/>
        <v>7084707.2999999998</v>
      </c>
      <c r="I75" s="19">
        <v>528</v>
      </c>
      <c r="J75" s="19">
        <v>1014</v>
      </c>
      <c r="K75" s="19">
        <v>776</v>
      </c>
      <c r="L75" s="19">
        <v>4438</v>
      </c>
      <c r="M75" s="19">
        <v>1919</v>
      </c>
      <c r="N75" s="19">
        <f t="shared" si="16"/>
        <v>7899</v>
      </c>
      <c r="O75" s="23">
        <v>2.02</v>
      </c>
      <c r="P75" s="19">
        <v>59</v>
      </c>
      <c r="Q75" s="19">
        <v>0</v>
      </c>
      <c r="R75" s="19">
        <v>260.20000000000005</v>
      </c>
      <c r="S75" s="3">
        <f t="shared" si="17"/>
        <v>8838215.6853497736</v>
      </c>
      <c r="T75" s="19">
        <v>1646597</v>
      </c>
      <c r="U75" s="15">
        <f t="shared" si="12"/>
        <v>1578158</v>
      </c>
      <c r="V75" s="15">
        <v>0</v>
      </c>
      <c r="W75" s="15">
        <f t="shared" si="13"/>
        <v>1578158</v>
      </c>
      <c r="X75" s="18"/>
      <c r="Y75" s="76"/>
      <c r="Z75" s="18"/>
      <c r="AA75" s="19">
        <v>0</v>
      </c>
      <c r="AB75" s="19">
        <f t="shared" si="14"/>
        <v>0</v>
      </c>
      <c r="AC75" s="19"/>
      <c r="AD75" s="19">
        <f t="shared" si="18"/>
        <v>0</v>
      </c>
      <c r="AE75" s="19">
        <f t="shared" si="19"/>
        <v>1578158</v>
      </c>
      <c r="AF75" s="19">
        <v>1646597</v>
      </c>
      <c r="AG75" s="19">
        <f t="shared" si="20"/>
        <v>-68439</v>
      </c>
      <c r="AH75" s="114"/>
      <c r="AJ75" s="80"/>
      <c r="AK75" s="80"/>
      <c r="AN75" s="80"/>
      <c r="AO75" s="80"/>
    </row>
    <row r="76" spans="1:41" x14ac:dyDescent="0.25">
      <c r="A76" s="6" t="s">
        <v>6</v>
      </c>
      <c r="B76" s="5" t="s">
        <v>117</v>
      </c>
      <c r="C76" s="5" t="s">
        <v>6</v>
      </c>
      <c r="D76" s="19">
        <v>10668432</v>
      </c>
      <c r="E76" s="19">
        <v>11360132</v>
      </c>
      <c r="F76" s="19">
        <v>12345131</v>
      </c>
      <c r="G76" s="19">
        <v>676219</v>
      </c>
      <c r="H76" s="4">
        <f t="shared" si="15"/>
        <v>12390510.5</v>
      </c>
      <c r="I76" s="19">
        <v>920</v>
      </c>
      <c r="J76" s="19">
        <v>1690</v>
      </c>
      <c r="K76" s="19">
        <v>1256</v>
      </c>
      <c r="L76" s="19">
        <v>7969</v>
      </c>
      <c r="M76" s="19">
        <v>3041</v>
      </c>
      <c r="N76" s="19">
        <f t="shared" si="16"/>
        <v>13620</v>
      </c>
      <c r="O76" s="23">
        <v>2</v>
      </c>
      <c r="P76" s="19">
        <v>122</v>
      </c>
      <c r="Q76" s="19">
        <v>1</v>
      </c>
      <c r="R76" s="19">
        <v>259.7</v>
      </c>
      <c r="S76" s="3">
        <f t="shared" si="17"/>
        <v>14997167.372077882</v>
      </c>
      <c r="T76" s="19">
        <v>2275896</v>
      </c>
      <c r="U76" s="15">
        <f t="shared" si="12"/>
        <v>2345991</v>
      </c>
      <c r="V76" s="15">
        <v>0</v>
      </c>
      <c r="W76" s="15">
        <f t="shared" si="13"/>
        <v>2345991</v>
      </c>
      <c r="X76" s="18"/>
      <c r="Y76" s="76"/>
      <c r="Z76" s="18"/>
      <c r="AA76" s="19">
        <v>4178</v>
      </c>
      <c r="AB76" s="19">
        <f t="shared" si="14"/>
        <v>3250</v>
      </c>
      <c r="AC76" s="19"/>
      <c r="AD76" s="19">
        <f t="shared" si="18"/>
        <v>0</v>
      </c>
      <c r="AE76" s="19">
        <f t="shared" si="19"/>
        <v>2349241</v>
      </c>
      <c r="AF76" s="19">
        <v>2280074</v>
      </c>
      <c r="AG76" s="19">
        <f t="shared" si="20"/>
        <v>69167</v>
      </c>
      <c r="AH76" s="114"/>
      <c r="AJ76" s="80"/>
      <c r="AK76" s="80"/>
      <c r="AN76" s="80"/>
      <c r="AO76" s="80"/>
    </row>
    <row r="77" spans="1:41" x14ac:dyDescent="0.25">
      <c r="A77" s="6" t="s">
        <v>6</v>
      </c>
      <c r="B77" s="5" t="s">
        <v>5</v>
      </c>
      <c r="C77" s="5" t="s">
        <v>5</v>
      </c>
      <c r="D77" s="19">
        <v>14081840</v>
      </c>
      <c r="E77" s="19">
        <v>14920034</v>
      </c>
      <c r="F77" s="19">
        <v>16131893</v>
      </c>
      <c r="G77" s="19">
        <v>163307</v>
      </c>
      <c r="H77" s="4">
        <f t="shared" si="15"/>
        <v>15521631.699999999</v>
      </c>
      <c r="I77" s="19">
        <v>1250</v>
      </c>
      <c r="J77" s="19">
        <v>2327</v>
      </c>
      <c r="K77" s="19">
        <v>1819</v>
      </c>
      <c r="L77" s="19">
        <v>9145</v>
      </c>
      <c r="M77" s="19">
        <v>4078</v>
      </c>
      <c r="N77" s="19">
        <f t="shared" si="16"/>
        <v>16800</v>
      </c>
      <c r="O77" s="23">
        <v>1</v>
      </c>
      <c r="P77" s="19">
        <v>143</v>
      </c>
      <c r="Q77" s="19">
        <v>2</v>
      </c>
      <c r="R77" s="19">
        <v>461.8</v>
      </c>
      <c r="S77" s="3">
        <f t="shared" si="17"/>
        <v>17395074.121631876</v>
      </c>
      <c r="T77" s="19">
        <v>1537532</v>
      </c>
      <c r="U77" s="15">
        <f t="shared" si="12"/>
        <v>1686098</v>
      </c>
      <c r="V77" s="15">
        <v>0</v>
      </c>
      <c r="W77" s="15">
        <f t="shared" si="13"/>
        <v>1686098</v>
      </c>
      <c r="X77" s="18"/>
      <c r="Y77" s="76"/>
      <c r="Z77" s="18"/>
      <c r="AA77" s="19">
        <v>0</v>
      </c>
      <c r="AB77" s="19">
        <f t="shared" si="14"/>
        <v>0</v>
      </c>
      <c r="AC77" s="19"/>
      <c r="AD77" s="19">
        <f t="shared" si="18"/>
        <v>0</v>
      </c>
      <c r="AE77" s="19">
        <f t="shared" si="19"/>
        <v>1686098</v>
      </c>
      <c r="AF77" s="19">
        <v>1537532</v>
      </c>
      <c r="AG77" s="19">
        <f t="shared" si="20"/>
        <v>148566</v>
      </c>
      <c r="AH77" s="114"/>
      <c r="AJ77" s="80"/>
      <c r="AK77" s="80"/>
      <c r="AN77" s="80"/>
      <c r="AO77" s="80"/>
    </row>
    <row r="78" spans="1:41" x14ac:dyDescent="0.25">
      <c r="A78" s="6" t="s">
        <v>1</v>
      </c>
      <c r="B78" s="5" t="s">
        <v>114</v>
      </c>
      <c r="C78" s="5" t="s">
        <v>4</v>
      </c>
      <c r="D78" s="19">
        <v>3049337</v>
      </c>
      <c r="E78" s="19">
        <v>3328766</v>
      </c>
      <c r="F78" s="19">
        <v>3595461</v>
      </c>
      <c r="G78" s="19">
        <v>165824</v>
      </c>
      <c r="H78" s="4">
        <f t="shared" si="15"/>
        <v>3572051.7</v>
      </c>
      <c r="I78" s="19">
        <v>251</v>
      </c>
      <c r="J78" s="19">
        <v>525</v>
      </c>
      <c r="K78" s="19">
        <v>376</v>
      </c>
      <c r="L78" s="19">
        <v>2554</v>
      </c>
      <c r="M78" s="19">
        <v>999</v>
      </c>
      <c r="N78" s="19">
        <f t="shared" si="16"/>
        <v>4329</v>
      </c>
      <c r="O78" s="23">
        <v>1.88</v>
      </c>
      <c r="P78" s="19">
        <v>76</v>
      </c>
      <c r="Q78" s="19">
        <v>4</v>
      </c>
      <c r="R78" s="19">
        <v>207.89999999999998</v>
      </c>
      <c r="S78" s="3">
        <f t="shared" si="17"/>
        <v>4629699.9876809306</v>
      </c>
      <c r="T78" s="19">
        <v>975763</v>
      </c>
      <c r="U78" s="15">
        <f t="shared" si="12"/>
        <v>951883</v>
      </c>
      <c r="V78" s="15">
        <v>0</v>
      </c>
      <c r="W78" s="15">
        <f t="shared" si="13"/>
        <v>951883</v>
      </c>
      <c r="X78" s="18"/>
      <c r="Y78" s="76"/>
      <c r="Z78" s="18"/>
      <c r="AA78" s="19">
        <v>0</v>
      </c>
      <c r="AB78" s="19">
        <f t="shared" si="14"/>
        <v>0</v>
      </c>
      <c r="AC78" s="19"/>
      <c r="AD78" s="19">
        <f t="shared" si="18"/>
        <v>0</v>
      </c>
      <c r="AE78" s="19">
        <f t="shared" si="19"/>
        <v>951883</v>
      </c>
      <c r="AF78" s="19">
        <v>975763</v>
      </c>
      <c r="AG78" s="19">
        <f t="shared" si="20"/>
        <v>-23880</v>
      </c>
      <c r="AH78" s="114"/>
      <c r="AJ78" s="80"/>
      <c r="AK78" s="80"/>
      <c r="AN78" s="80"/>
      <c r="AO78" s="80"/>
    </row>
    <row r="79" spans="1:41" x14ac:dyDescent="0.25">
      <c r="A79" s="6" t="s">
        <v>1</v>
      </c>
      <c r="B79" s="5" t="s">
        <v>102</v>
      </c>
      <c r="C79" s="5" t="s">
        <v>3</v>
      </c>
      <c r="D79" s="19">
        <v>4029480</v>
      </c>
      <c r="E79" s="19">
        <v>4253354</v>
      </c>
      <c r="F79" s="19">
        <v>4657652</v>
      </c>
      <c r="G79" s="19">
        <v>357846</v>
      </c>
      <c r="H79" s="4">
        <f t="shared" si="15"/>
        <v>4768574.2</v>
      </c>
      <c r="I79" s="19">
        <v>273</v>
      </c>
      <c r="J79" s="19">
        <v>561</v>
      </c>
      <c r="K79" s="19">
        <v>418</v>
      </c>
      <c r="L79" s="19">
        <v>3145</v>
      </c>
      <c r="M79" s="19">
        <v>1274</v>
      </c>
      <c r="N79" s="19">
        <f t="shared" si="16"/>
        <v>5253</v>
      </c>
      <c r="O79" s="23">
        <v>2.0499999999999998</v>
      </c>
      <c r="P79" s="19">
        <v>26</v>
      </c>
      <c r="Q79" s="19">
        <v>19</v>
      </c>
      <c r="R79" s="19">
        <v>409.1</v>
      </c>
      <c r="S79" s="3">
        <f t="shared" si="17"/>
        <v>5371741.4217978567</v>
      </c>
      <c r="T79" s="19">
        <v>602370.31004227872</v>
      </c>
      <c r="U79" s="15">
        <f t="shared" si="12"/>
        <v>542850</v>
      </c>
      <c r="V79" s="15">
        <v>15029.512148397043</v>
      </c>
      <c r="W79" s="15">
        <f t="shared" si="13"/>
        <v>557879.51214839704</v>
      </c>
      <c r="X79" s="18"/>
      <c r="Y79" s="76"/>
      <c r="Z79" s="18"/>
      <c r="AA79" s="19">
        <v>0</v>
      </c>
      <c r="AB79" s="19">
        <f t="shared" si="14"/>
        <v>0</v>
      </c>
      <c r="AC79" s="19"/>
      <c r="AD79" s="19">
        <f t="shared" si="18"/>
        <v>0</v>
      </c>
      <c r="AE79" s="19">
        <f t="shared" si="19"/>
        <v>557880</v>
      </c>
      <c r="AF79" s="19">
        <v>617400</v>
      </c>
      <c r="AG79" s="19">
        <f t="shared" si="20"/>
        <v>-59520</v>
      </c>
      <c r="AH79" s="114"/>
      <c r="AJ79" s="80"/>
      <c r="AK79" s="80"/>
      <c r="AN79" s="80"/>
      <c r="AO79" s="80"/>
    </row>
    <row r="80" spans="1:41" x14ac:dyDescent="0.25">
      <c r="A80" s="6" t="s">
        <v>1</v>
      </c>
      <c r="B80" s="5" t="s">
        <v>604</v>
      </c>
      <c r="C80" s="5" t="s">
        <v>2</v>
      </c>
      <c r="D80" s="19">
        <v>2223171</v>
      </c>
      <c r="E80" s="19">
        <v>2309725</v>
      </c>
      <c r="F80" s="19">
        <v>2652407</v>
      </c>
      <c r="G80" s="19">
        <v>182877</v>
      </c>
      <c r="H80" s="4">
        <f t="shared" si="15"/>
        <v>2646632.2000000002</v>
      </c>
      <c r="I80" s="19">
        <v>186</v>
      </c>
      <c r="J80" s="19">
        <v>308</v>
      </c>
      <c r="K80" s="19">
        <v>223</v>
      </c>
      <c r="L80" s="19">
        <v>1971</v>
      </c>
      <c r="M80" s="19">
        <v>732</v>
      </c>
      <c r="N80" s="19">
        <f t="shared" si="16"/>
        <v>3197</v>
      </c>
      <c r="O80" s="23">
        <v>2.1</v>
      </c>
      <c r="P80" s="19">
        <v>37</v>
      </c>
      <c r="Q80" s="19">
        <v>1</v>
      </c>
      <c r="R80" s="19">
        <v>247.29999999999998</v>
      </c>
      <c r="S80" s="3">
        <f t="shared" si="17"/>
        <v>3300742.4846896958</v>
      </c>
      <c r="T80" s="19">
        <v>651485</v>
      </c>
      <c r="U80" s="15">
        <f t="shared" si="12"/>
        <v>588699</v>
      </c>
      <c r="V80" s="15">
        <v>0</v>
      </c>
      <c r="W80" s="15">
        <f t="shared" si="13"/>
        <v>588699</v>
      </c>
      <c r="X80" s="18"/>
      <c r="Y80" s="76"/>
      <c r="Z80" s="18"/>
      <c r="AA80" s="19">
        <v>0</v>
      </c>
      <c r="AB80" s="19">
        <f t="shared" si="14"/>
        <v>0</v>
      </c>
      <c r="AC80" s="19"/>
      <c r="AD80" s="19">
        <f t="shared" si="18"/>
        <v>0</v>
      </c>
      <c r="AE80" s="19">
        <f t="shared" si="19"/>
        <v>588699</v>
      </c>
      <c r="AF80" s="19">
        <v>651485</v>
      </c>
      <c r="AG80" s="19">
        <f t="shared" si="20"/>
        <v>-62786</v>
      </c>
      <c r="AH80" s="114"/>
      <c r="AJ80" s="80"/>
      <c r="AK80" s="80"/>
      <c r="AN80" s="80"/>
      <c r="AO80" s="80"/>
    </row>
    <row r="81" spans="1:41" x14ac:dyDescent="0.25">
      <c r="A81" s="6" t="s">
        <v>1</v>
      </c>
      <c r="B81" s="5" t="s">
        <v>92</v>
      </c>
      <c r="C81" s="5" t="s">
        <v>1</v>
      </c>
      <c r="D81" s="19">
        <v>8058502</v>
      </c>
      <c r="E81" s="19">
        <v>8585187</v>
      </c>
      <c r="F81" s="19">
        <v>9285349</v>
      </c>
      <c r="G81" s="19">
        <v>447457</v>
      </c>
      <c r="H81" s="4">
        <f t="shared" si="15"/>
        <v>9277388</v>
      </c>
      <c r="I81" s="19">
        <v>689</v>
      </c>
      <c r="J81" s="19">
        <v>1455</v>
      </c>
      <c r="K81" s="19">
        <v>1097</v>
      </c>
      <c r="L81" s="19">
        <v>6354</v>
      </c>
      <c r="M81" s="19">
        <v>2197</v>
      </c>
      <c r="N81" s="19">
        <f t="shared" si="16"/>
        <v>10695</v>
      </c>
      <c r="O81" s="23">
        <v>2</v>
      </c>
      <c r="P81" s="19">
        <v>117</v>
      </c>
      <c r="Q81" s="19">
        <v>19</v>
      </c>
      <c r="R81" s="19">
        <v>535.4</v>
      </c>
      <c r="S81" s="3">
        <f t="shared" si="17"/>
        <v>12018869.841189768</v>
      </c>
      <c r="T81" s="19">
        <v>2442518</v>
      </c>
      <c r="U81" s="15">
        <f t="shared" si="12"/>
        <v>2467334</v>
      </c>
      <c r="V81" s="15">
        <v>0</v>
      </c>
      <c r="W81" s="15">
        <f t="shared" si="13"/>
        <v>2467334</v>
      </c>
      <c r="X81" s="18"/>
      <c r="Y81" s="76"/>
      <c r="Z81" s="18"/>
      <c r="AA81" s="19">
        <v>640</v>
      </c>
      <c r="AB81" s="19">
        <f t="shared" si="14"/>
        <v>498</v>
      </c>
      <c r="AC81" s="19"/>
      <c r="AD81" s="19">
        <f t="shared" si="18"/>
        <v>0</v>
      </c>
      <c r="AE81" s="19">
        <f t="shared" si="19"/>
        <v>2467832</v>
      </c>
      <c r="AF81" s="19">
        <v>2443158</v>
      </c>
      <c r="AG81" s="19">
        <f t="shared" si="20"/>
        <v>24674</v>
      </c>
      <c r="AH81" s="114"/>
      <c r="AJ81" s="80"/>
      <c r="AK81" s="80"/>
      <c r="AN81" s="80"/>
      <c r="AO81" s="80"/>
    </row>
    <row r="82" spans="1:41" x14ac:dyDescent="0.25">
      <c r="A82" s="6" t="s">
        <v>1</v>
      </c>
      <c r="B82" s="5" t="s">
        <v>0</v>
      </c>
      <c r="C82" s="5" t="s">
        <v>0</v>
      </c>
      <c r="D82" s="19">
        <v>8599939</v>
      </c>
      <c r="E82" s="19">
        <v>8931689</v>
      </c>
      <c r="F82" s="19">
        <v>9761590</v>
      </c>
      <c r="G82" s="19">
        <v>106080</v>
      </c>
      <c r="H82" s="4">
        <f t="shared" si="15"/>
        <v>9386369.5</v>
      </c>
      <c r="I82" s="19">
        <v>877</v>
      </c>
      <c r="J82" s="19">
        <v>1449</v>
      </c>
      <c r="K82" s="19">
        <v>1104</v>
      </c>
      <c r="L82" s="19">
        <v>6403</v>
      </c>
      <c r="M82" s="19">
        <v>2803</v>
      </c>
      <c r="N82" s="19">
        <f t="shared" si="16"/>
        <v>11532</v>
      </c>
      <c r="O82" s="23">
        <v>1</v>
      </c>
      <c r="P82" s="19">
        <v>80</v>
      </c>
      <c r="Q82" s="19">
        <v>84</v>
      </c>
      <c r="R82" s="19">
        <v>668.8</v>
      </c>
      <c r="S82" s="3">
        <f t="shared" si="17"/>
        <v>11816107.432140434</v>
      </c>
      <c r="T82" s="19">
        <v>2023807</v>
      </c>
      <c r="U82" s="15">
        <f t="shared" si="12"/>
        <v>2186764</v>
      </c>
      <c r="V82" s="15">
        <v>0</v>
      </c>
      <c r="W82" s="15">
        <f t="shared" si="13"/>
        <v>2186764</v>
      </c>
      <c r="X82" s="18"/>
      <c r="Y82" s="76"/>
      <c r="Z82" s="18"/>
      <c r="AA82" s="19">
        <v>0</v>
      </c>
      <c r="AB82" s="19">
        <f t="shared" si="14"/>
        <v>0</v>
      </c>
      <c r="AC82" s="19"/>
      <c r="AD82" s="19">
        <f t="shared" si="18"/>
        <v>0</v>
      </c>
      <c r="AE82" s="19">
        <f t="shared" si="19"/>
        <v>2186764</v>
      </c>
      <c r="AF82" s="19">
        <v>2023807</v>
      </c>
      <c r="AG82" s="19">
        <f t="shared" si="20"/>
        <v>162957</v>
      </c>
      <c r="AH82" s="114"/>
      <c r="AJ82" s="80"/>
      <c r="AK82" s="80"/>
      <c r="AN82" s="80"/>
      <c r="AO82" s="80"/>
    </row>
    <row r="83" spans="1:41" x14ac:dyDescent="0.25">
      <c r="A83" s="264" t="s">
        <v>512</v>
      </c>
      <c r="B83" s="264"/>
      <c r="C83" s="264"/>
      <c r="D83" s="24">
        <f t="shared" ref="D83:N83" si="21">SUM(D4:D82)</f>
        <v>1262330853</v>
      </c>
      <c r="E83" s="24">
        <f t="shared" si="21"/>
        <v>1354992073</v>
      </c>
      <c r="F83" s="24">
        <f t="shared" si="21"/>
        <v>1525688250</v>
      </c>
      <c r="G83" s="24">
        <f t="shared" ref="G83" si="22">SUM(G4:G82)</f>
        <v>62408527</v>
      </c>
      <c r="H83" s="24">
        <f t="shared" si="21"/>
        <v>1484216444.5000007</v>
      </c>
      <c r="I83" s="24">
        <f t="shared" si="21"/>
        <v>99207</v>
      </c>
      <c r="J83" s="24">
        <f t="shared" si="21"/>
        <v>185059</v>
      </c>
      <c r="K83" s="24">
        <f t="shared" si="21"/>
        <v>141386</v>
      </c>
      <c r="L83" s="24">
        <f t="shared" si="21"/>
        <v>808984</v>
      </c>
      <c r="M83" s="24">
        <f t="shared" si="21"/>
        <v>275667</v>
      </c>
      <c r="N83" s="24">
        <f t="shared" si="21"/>
        <v>1368917</v>
      </c>
      <c r="O83" s="24"/>
      <c r="P83" s="24">
        <f t="shared" ref="P83:Q83" si="23">SUM(P4:P82)</f>
        <v>20542</v>
      </c>
      <c r="Q83" s="24">
        <f t="shared" si="23"/>
        <v>896</v>
      </c>
      <c r="R83" s="24">
        <f t="shared" ref="R83:W83" si="24">SUM(R4:R82)</f>
        <v>24197.1</v>
      </c>
      <c r="S83" s="24">
        <f t="shared" si="24"/>
        <v>1450741404.0519912</v>
      </c>
      <c r="T83" s="24">
        <f t="shared" si="24"/>
        <v>104903030.60175064</v>
      </c>
      <c r="U83" s="24">
        <f t="shared" si="24"/>
        <v>105053750.55960619</v>
      </c>
      <c r="V83" s="24">
        <f t="shared" si="24"/>
        <v>1113075.8069892514</v>
      </c>
      <c r="W83" s="24">
        <f t="shared" si="24"/>
        <v>106166826.36659543</v>
      </c>
      <c r="X83" s="24">
        <f t="shared" ref="X83:AG83" si="25">SUM(X4:X82)</f>
        <v>1847</v>
      </c>
      <c r="Y83" s="77">
        <f t="shared" si="25"/>
        <v>196.20000000000002</v>
      </c>
      <c r="Z83" s="24">
        <f t="shared" si="25"/>
        <v>773588.58554848959</v>
      </c>
      <c r="AA83" s="24">
        <f t="shared" si="25"/>
        <v>441716</v>
      </c>
      <c r="AB83" s="24">
        <f t="shared" si="25"/>
        <v>343651</v>
      </c>
      <c r="AC83" s="24">
        <f t="shared" si="25"/>
        <v>15</v>
      </c>
      <c r="AD83" s="24">
        <f t="shared" si="25"/>
        <v>85936.149727568802</v>
      </c>
      <c r="AE83" s="24">
        <f t="shared" si="25"/>
        <v>107370000</v>
      </c>
      <c r="AF83" s="24">
        <f t="shared" si="25"/>
        <v>107302000</v>
      </c>
      <c r="AG83" s="24">
        <f t="shared" si="25"/>
        <v>68000</v>
      </c>
    </row>
    <row r="84" spans="1:41" x14ac:dyDescent="0.25">
      <c r="D84" s="21"/>
      <c r="E84" s="21"/>
      <c r="F84" s="122"/>
      <c r="G84" s="21"/>
      <c r="P84" s="2"/>
      <c r="R84" s="62" t="s">
        <v>672</v>
      </c>
      <c r="U84" s="13">
        <v>0.9</v>
      </c>
      <c r="AB84" s="25">
        <v>0.77800000000000002</v>
      </c>
      <c r="AC84" s="25"/>
      <c r="AD84" t="s">
        <v>775</v>
      </c>
      <c r="AE84" s="2">
        <f>KOOND!C86</f>
        <v>107370000</v>
      </c>
    </row>
    <row r="85" spans="1:41" x14ac:dyDescent="0.25">
      <c r="C85" s="205" t="s">
        <v>90</v>
      </c>
      <c r="D85" s="276" t="s">
        <v>516</v>
      </c>
      <c r="E85" s="197"/>
      <c r="F85" s="197"/>
      <c r="G85" s="197"/>
      <c r="H85" s="197"/>
      <c r="I85" s="197"/>
      <c r="J85" s="197"/>
      <c r="K85" s="197"/>
      <c r="L85" s="197"/>
      <c r="P85" s="2"/>
      <c r="AD85" t="s">
        <v>85</v>
      </c>
      <c r="AE85" s="21">
        <f>AE84-AE83</f>
        <v>0</v>
      </c>
    </row>
    <row r="86" spans="1:41" x14ac:dyDescent="0.25">
      <c r="C86" s="205"/>
      <c r="D86" s="22">
        <v>2015</v>
      </c>
      <c r="E86" s="22">
        <v>2016</v>
      </c>
      <c r="F86" s="22">
        <v>2017</v>
      </c>
      <c r="G86" s="22">
        <v>2018</v>
      </c>
      <c r="H86" s="22">
        <v>2019</v>
      </c>
      <c r="I86" s="22">
        <v>2020</v>
      </c>
      <c r="J86" s="22">
        <v>2021</v>
      </c>
      <c r="K86" s="22">
        <v>2022</v>
      </c>
      <c r="L86" s="116">
        <v>2023</v>
      </c>
      <c r="S86" s="2"/>
      <c r="U86">
        <f>COUNTIF(U4:U82,"&gt;0")</f>
        <v>64</v>
      </c>
    </row>
    <row r="87" spans="1:41" x14ac:dyDescent="0.25">
      <c r="C87" s="20" t="s">
        <v>676</v>
      </c>
      <c r="D87" s="12">
        <v>1242.5102159999999</v>
      </c>
      <c r="E87" s="12">
        <f>ROUND(D87*E$102,6)</f>
        <v>1325.350261</v>
      </c>
      <c r="F87" s="12">
        <f>ROUND(E87*F$102,6)</f>
        <v>1395.2565870000001</v>
      </c>
      <c r="G87" s="12">
        <f>F87*G$102*G$102</f>
        <v>2046.5812165693364</v>
      </c>
      <c r="H87" s="12">
        <f>D105*H$102+H117</f>
        <v>2866.3307733061083</v>
      </c>
      <c r="I87" s="12">
        <f>$D105*I$102+I117</f>
        <v>3168.6827130848155</v>
      </c>
      <c r="J87" s="12">
        <f t="shared" ref="J87:L94" si="26">I87*J$102</f>
        <v>3325.7993643345617</v>
      </c>
      <c r="K87" s="12">
        <f t="shared" si="26"/>
        <v>3491.1767551559924</v>
      </c>
      <c r="L87" s="12">
        <f t="shared" si="26"/>
        <v>3671.8499470174702</v>
      </c>
      <c r="N87" s="103" t="s">
        <v>708</v>
      </c>
      <c r="S87" s="2"/>
      <c r="T87" s="47" t="s">
        <v>830</v>
      </c>
      <c r="U87" s="80">
        <f>U86/79</f>
        <v>0.810126582278481</v>
      </c>
      <c r="AH87" s="2"/>
    </row>
    <row r="88" spans="1:41" x14ac:dyDescent="0.25">
      <c r="C88" s="81" t="s">
        <v>677</v>
      </c>
      <c r="D88" s="12">
        <v>988.06748200000004</v>
      </c>
      <c r="E88" s="12">
        <f>ROUND(D88*E$102,6)</f>
        <v>1053.9434429999999</v>
      </c>
      <c r="F88" s="12">
        <f>ROUND(E88*F$102,6)</f>
        <v>1109.5342680000001</v>
      </c>
      <c r="G88" s="12">
        <f>F88*G$102-G89+G116</f>
        <v>506.64194583018127</v>
      </c>
      <c r="H88" s="12">
        <f>(D106-E106)*H102+G116*H105+H117</f>
        <v>467.4967095031671</v>
      </c>
      <c r="I88" s="12">
        <f>($D106-$E106)*I102+I116+I117</f>
        <v>514.71484679840512</v>
      </c>
      <c r="J88" s="12">
        <f t="shared" si="26"/>
        <v>540.23657945517903</v>
      </c>
      <c r="K88" s="12">
        <f t="shared" si="26"/>
        <v>567.1001710760969</v>
      </c>
      <c r="L88" s="12">
        <f t="shared" si="26"/>
        <v>596.44838378465977</v>
      </c>
      <c r="N88" s="97" t="s">
        <v>709</v>
      </c>
      <c r="AH88" s="2"/>
    </row>
    <row r="89" spans="1:41" x14ac:dyDescent="0.25">
      <c r="C89" s="81" t="s">
        <v>723</v>
      </c>
      <c r="D89" s="12"/>
      <c r="E89" s="12"/>
      <c r="F89" s="12"/>
      <c r="G89" s="12">
        <v>862.23804839752961</v>
      </c>
      <c r="H89" s="12">
        <f>E106*H102</f>
        <v>1186.5776371899185</v>
      </c>
      <c r="I89" s="12">
        <f>$E106*I102</f>
        <v>1311.8129167445013</v>
      </c>
      <c r="J89" s="12">
        <f t="shared" si="26"/>
        <v>1376.8581330717636</v>
      </c>
      <c r="K89" s="12">
        <f t="shared" si="26"/>
        <v>1445.3232389409006</v>
      </c>
      <c r="L89" s="12">
        <f t="shared" si="26"/>
        <v>1520.1207015630284</v>
      </c>
      <c r="N89" s="97" t="s">
        <v>710</v>
      </c>
      <c r="V89" s="266" t="s">
        <v>510</v>
      </c>
      <c r="W89" s="266" t="s">
        <v>655</v>
      </c>
      <c r="X89" s="266" t="s">
        <v>817</v>
      </c>
      <c r="Y89" s="266" t="s">
        <v>667</v>
      </c>
      <c r="Z89" s="266" t="s">
        <v>668</v>
      </c>
    </row>
    <row r="90" spans="1:41" x14ac:dyDescent="0.25">
      <c r="C90" s="81" t="s">
        <v>678</v>
      </c>
      <c r="D90" s="12"/>
      <c r="E90" s="12"/>
      <c r="F90" s="12"/>
      <c r="G90" s="101">
        <v>7.73</v>
      </c>
      <c r="H90" s="101">
        <f>G90*H105</f>
        <v>7.9619000000000009</v>
      </c>
      <c r="I90" s="101">
        <f t="shared" ref="I90" si="27">H90*I105</f>
        <v>8.2007570000000012</v>
      </c>
      <c r="J90" s="12">
        <f t="shared" si="26"/>
        <v>8.6073851146522706</v>
      </c>
      <c r="K90" s="12">
        <f t="shared" si="26"/>
        <v>9.0353925607181651</v>
      </c>
      <c r="L90" s="12">
        <f t="shared" si="26"/>
        <v>9.5029865349434726</v>
      </c>
      <c r="N90" s="97" t="s">
        <v>711</v>
      </c>
      <c r="V90" s="266"/>
      <c r="W90" s="266"/>
      <c r="X90" s="266"/>
      <c r="Y90" s="266"/>
      <c r="Z90" s="266"/>
    </row>
    <row r="91" spans="1:41" x14ac:dyDescent="0.25">
      <c r="C91" s="11" t="s">
        <v>89</v>
      </c>
      <c r="D91" s="12"/>
      <c r="E91" s="12"/>
      <c r="F91" s="12"/>
      <c r="G91" s="12">
        <v>862.23804839752961</v>
      </c>
      <c r="H91" s="12">
        <f>E107*H102</f>
        <v>1186.5776371899185</v>
      </c>
      <c r="I91" s="12">
        <f>$E107*I102</f>
        <v>1311.8129167445013</v>
      </c>
      <c r="J91" s="12">
        <f t="shared" si="26"/>
        <v>1376.8581330717636</v>
      </c>
      <c r="K91" s="12">
        <f t="shared" si="26"/>
        <v>1445.3232389409006</v>
      </c>
      <c r="L91" s="12">
        <f t="shared" si="26"/>
        <v>1520.1207015630284</v>
      </c>
      <c r="N91" s="97" t="s">
        <v>712</v>
      </c>
      <c r="V91" s="266"/>
      <c r="W91" s="266"/>
      <c r="X91" s="266"/>
      <c r="Y91" s="266"/>
      <c r="Z91" s="266"/>
    </row>
    <row r="92" spans="1:41" x14ac:dyDescent="0.25">
      <c r="C92" s="9" t="s">
        <v>88</v>
      </c>
      <c r="D92" s="12">
        <v>409.24775799999998</v>
      </c>
      <c r="E92" s="12">
        <f t="shared" ref="E92:F94" si="28">ROUND(D92*E$102,6)</f>
        <v>436.53292800000003</v>
      </c>
      <c r="F92" s="12">
        <f t="shared" si="28"/>
        <v>459.55809699999998</v>
      </c>
      <c r="G92" s="12">
        <f>F92</f>
        <v>459.55809699999998</v>
      </c>
      <c r="H92" s="12">
        <f>MAX(D108*H102,G92)+H117</f>
        <v>461.80809699999998</v>
      </c>
      <c r="I92" s="12">
        <f>MAX($D108*I102,H92)+I117</f>
        <v>488.08625679840515</v>
      </c>
      <c r="J92" s="12">
        <f t="shared" si="26"/>
        <v>512.28763167021498</v>
      </c>
      <c r="K92" s="12">
        <f t="shared" si="26"/>
        <v>537.76144490869376</v>
      </c>
      <c r="L92" s="12">
        <f t="shared" si="26"/>
        <v>565.59133824428704</v>
      </c>
      <c r="N92" s="104" t="s">
        <v>716</v>
      </c>
      <c r="V92" s="20" t="s">
        <v>22</v>
      </c>
      <c r="W92" s="9" t="s">
        <v>656</v>
      </c>
      <c r="X92" s="9">
        <v>53</v>
      </c>
      <c r="Y92" s="9">
        <v>7.5</v>
      </c>
      <c r="Z92" s="12">
        <f>IF(X92&lt;5,X92/5*L$99,L$99)</f>
        <v>14752.372369899311</v>
      </c>
    </row>
    <row r="93" spans="1:41" x14ac:dyDescent="0.25">
      <c r="C93" s="20" t="s">
        <v>675</v>
      </c>
      <c r="D93" s="12">
        <v>594.47796100000005</v>
      </c>
      <c r="E93" s="12">
        <f t="shared" si="28"/>
        <v>634.11270999999999</v>
      </c>
      <c r="F93" s="12">
        <f t="shared" si="28"/>
        <v>667.55933300000004</v>
      </c>
      <c r="G93" s="12">
        <f>F93</f>
        <v>667.55933300000004</v>
      </c>
      <c r="H93" s="12">
        <f>MAX(D109*H102,G93)+H117</f>
        <v>669.80933300000004</v>
      </c>
      <c r="I93" s="12">
        <f>MAX($D109*I102,H93)+I117</f>
        <v>680.16207946953512</v>
      </c>
      <c r="J93" s="12">
        <f t="shared" si="26"/>
        <v>713.8873836131238</v>
      </c>
      <c r="K93" s="12">
        <f t="shared" si="26"/>
        <v>749.3858668073733</v>
      </c>
      <c r="L93" s="12">
        <f t="shared" si="26"/>
        <v>788.16761462120428</v>
      </c>
      <c r="N93" s="105" t="s">
        <v>713</v>
      </c>
      <c r="V93" s="20" t="s">
        <v>27</v>
      </c>
      <c r="W93" s="9" t="s">
        <v>27</v>
      </c>
      <c r="X93" s="12">
        <v>691</v>
      </c>
      <c r="Y93" s="9">
        <v>16.899999999999999</v>
      </c>
      <c r="Z93" s="12">
        <f t="shared" ref="Z93:Z108" si="29">IF(X93&lt;5,X93/5*L$99,L$99)</f>
        <v>14752.372369899311</v>
      </c>
    </row>
    <row r="94" spans="1:41" x14ac:dyDescent="0.25">
      <c r="C94" s="9" t="s">
        <v>87</v>
      </c>
      <c r="D94" s="12">
        <v>4225.7364509999998</v>
      </c>
      <c r="E94" s="12">
        <f t="shared" si="28"/>
        <v>4507.4727229999999</v>
      </c>
      <c r="F94" s="12">
        <f t="shared" si="28"/>
        <v>4745.2218439999997</v>
      </c>
      <c r="G94" s="12">
        <f>F94</f>
        <v>4745.2218439999997</v>
      </c>
      <c r="H94" s="12">
        <v>0</v>
      </c>
      <c r="I94" s="12"/>
      <c r="J94" s="12">
        <f t="shared" si="26"/>
        <v>0</v>
      </c>
      <c r="K94" s="12">
        <f t="shared" si="26"/>
        <v>0</v>
      </c>
      <c r="L94" s="12">
        <f t="shared" si="26"/>
        <v>0</v>
      </c>
      <c r="N94" s="105"/>
      <c r="V94" s="20" t="s">
        <v>30</v>
      </c>
      <c r="W94" s="9" t="s">
        <v>657</v>
      </c>
      <c r="X94" s="9">
        <v>48</v>
      </c>
      <c r="Y94" s="9">
        <v>0.9</v>
      </c>
      <c r="Z94" s="12">
        <f t="shared" si="29"/>
        <v>14752.372369899311</v>
      </c>
    </row>
    <row r="95" spans="1:41" x14ac:dyDescent="0.25">
      <c r="C95" s="20" t="s">
        <v>706</v>
      </c>
      <c r="D95" s="12">
        <v>648.74066800000003</v>
      </c>
      <c r="E95" s="12">
        <f>D95</f>
        <v>648.74066800000003</v>
      </c>
      <c r="F95" s="12">
        <f>E95</f>
        <v>648.74066800000003</v>
      </c>
      <c r="G95" s="12">
        <f>F95*0.85</f>
        <v>551.42956779999997</v>
      </c>
      <c r="H95" s="12">
        <f>F95*0.7</f>
        <v>454.11846759999997</v>
      </c>
      <c r="I95" s="12">
        <f>$F95*0.55</f>
        <v>356.80736740000003</v>
      </c>
      <c r="J95" s="12">
        <f>$F95*0.4</f>
        <v>259.49626720000003</v>
      </c>
      <c r="K95" s="12">
        <f>$F95*0.25</f>
        <v>162.18516700000001</v>
      </c>
      <c r="L95" s="12">
        <f>$F95*0.1</f>
        <v>64.874066800000008</v>
      </c>
      <c r="N95" s="103" t="s">
        <v>714</v>
      </c>
      <c r="V95" s="20"/>
      <c r="W95" s="9"/>
      <c r="X95" s="9"/>
      <c r="Y95" s="9"/>
      <c r="Z95" s="12"/>
    </row>
    <row r="96" spans="1:41" x14ac:dyDescent="0.25">
      <c r="C96" s="20" t="s">
        <v>707</v>
      </c>
      <c r="D96" s="12"/>
      <c r="E96" s="12"/>
      <c r="F96" s="12"/>
      <c r="G96" s="12"/>
      <c r="H96" s="102">
        <f>2000000/1423</f>
        <v>1405.4813773717499</v>
      </c>
      <c r="I96" s="102">
        <f>$H96*0.85</f>
        <v>1194.6591707659875</v>
      </c>
      <c r="J96" s="102">
        <f>$H96*0.7</f>
        <v>983.83696416022485</v>
      </c>
      <c r="K96" s="102">
        <f>$H96*0.55</f>
        <v>773.01475755446245</v>
      </c>
      <c r="L96" s="102">
        <f>$H96*0.4</f>
        <v>562.19255094869993</v>
      </c>
      <c r="N96" s="97" t="s">
        <v>715</v>
      </c>
      <c r="V96" s="20"/>
      <c r="W96" s="96"/>
      <c r="X96" s="96"/>
      <c r="Y96" s="9"/>
      <c r="Z96" s="12"/>
    </row>
    <row r="97" spans="3:27" x14ac:dyDescent="0.25">
      <c r="C97" s="20" t="s">
        <v>520</v>
      </c>
      <c r="D97" s="9"/>
      <c r="E97" s="9"/>
      <c r="F97" s="9"/>
      <c r="G97" s="12">
        <v>188</v>
      </c>
      <c r="H97" s="12">
        <f t="shared" ref="H97:I99" si="30">G97*H$105</f>
        <v>193.64000000000001</v>
      </c>
      <c r="I97" s="12">
        <f t="shared" si="30"/>
        <v>199.44920000000002</v>
      </c>
      <c r="J97" s="12">
        <f t="shared" ref="J97:L100" si="31">I97*J$102</f>
        <v>209.33873241327643</v>
      </c>
      <c r="K97" s="12">
        <f t="shared" si="31"/>
        <v>219.74822786740168</v>
      </c>
      <c r="L97" s="12">
        <f t="shared" si="31"/>
        <v>231.12050046175585</v>
      </c>
      <c r="V97" s="20" t="s">
        <v>13</v>
      </c>
      <c r="W97" s="9" t="s">
        <v>658</v>
      </c>
      <c r="X97" s="12">
        <v>97</v>
      </c>
      <c r="Y97" s="9">
        <v>8.5</v>
      </c>
      <c r="Z97" s="12">
        <f t="shared" si="29"/>
        <v>14752.372369899311</v>
      </c>
    </row>
    <row r="98" spans="3:27" x14ac:dyDescent="0.25">
      <c r="C98" s="20" t="s">
        <v>521</v>
      </c>
      <c r="D98" s="9"/>
      <c r="E98" s="9"/>
      <c r="F98" s="9"/>
      <c r="G98" s="12">
        <v>520</v>
      </c>
      <c r="H98" s="12">
        <f t="shared" si="30"/>
        <v>535.6</v>
      </c>
      <c r="I98" s="12">
        <f t="shared" si="30"/>
        <v>551.66800000000001</v>
      </c>
      <c r="J98" s="12">
        <f t="shared" si="31"/>
        <v>579.02202582395603</v>
      </c>
      <c r="K98" s="12">
        <f t="shared" si="31"/>
        <v>607.81424729281309</v>
      </c>
      <c r="L98" s="12">
        <f t="shared" si="31"/>
        <v>639.26946936230331</v>
      </c>
      <c r="V98" s="20" t="s">
        <v>21</v>
      </c>
      <c r="W98" s="9" t="s">
        <v>659</v>
      </c>
      <c r="X98" s="12">
        <v>9</v>
      </c>
      <c r="Y98" s="9">
        <v>7.8</v>
      </c>
      <c r="Z98" s="12">
        <f t="shared" si="29"/>
        <v>14752.372369899311</v>
      </c>
    </row>
    <row r="99" spans="3:27" x14ac:dyDescent="0.25">
      <c r="C99" s="20" t="s">
        <v>522</v>
      </c>
      <c r="D99" s="9"/>
      <c r="E99" s="9"/>
      <c r="F99" s="9"/>
      <c r="G99" s="12">
        <v>12000</v>
      </c>
      <c r="H99" s="12">
        <f t="shared" si="30"/>
        <v>12360</v>
      </c>
      <c r="I99" s="12">
        <f t="shared" si="30"/>
        <v>12730.800000000001</v>
      </c>
      <c r="J99" s="12">
        <f t="shared" si="31"/>
        <v>13362.046749783602</v>
      </c>
      <c r="K99" s="12">
        <f t="shared" si="31"/>
        <v>14026.48262983415</v>
      </c>
      <c r="L99" s="12">
        <f t="shared" si="31"/>
        <v>14752.372369899311</v>
      </c>
      <c r="V99" s="9" t="s">
        <v>22</v>
      </c>
      <c r="W99" s="9" t="s">
        <v>660</v>
      </c>
      <c r="X99" s="12">
        <v>7</v>
      </c>
      <c r="Y99" s="9">
        <v>3.5</v>
      </c>
      <c r="Z99" s="12">
        <f t="shared" si="29"/>
        <v>14752.372369899311</v>
      </c>
    </row>
    <row r="100" spans="3:27" x14ac:dyDescent="0.25">
      <c r="C100" s="20" t="s">
        <v>718</v>
      </c>
      <c r="D100" s="9"/>
      <c r="E100" s="9"/>
      <c r="F100" s="9"/>
      <c r="G100" s="9"/>
      <c r="H100" s="9">
        <v>4800</v>
      </c>
      <c r="I100" s="12">
        <f>H100*I$105</f>
        <v>4944</v>
      </c>
      <c r="J100" s="12">
        <f t="shared" si="31"/>
        <v>5189.1443688480003</v>
      </c>
      <c r="K100" s="12">
        <f t="shared" si="31"/>
        <v>5447.1777203239417</v>
      </c>
      <c r="L100" s="12">
        <f t="shared" si="31"/>
        <v>5729.076648504586</v>
      </c>
      <c r="M100" s="78" t="s">
        <v>818</v>
      </c>
      <c r="V100" s="20" t="s">
        <v>70</v>
      </c>
      <c r="W100" s="9" t="s">
        <v>661</v>
      </c>
      <c r="X100" s="9">
        <v>218</v>
      </c>
      <c r="Y100" s="9">
        <v>16.600000000000001</v>
      </c>
      <c r="Z100" s="12">
        <f t="shared" si="29"/>
        <v>14752.372369899311</v>
      </c>
    </row>
    <row r="101" spans="3:27" x14ac:dyDescent="0.25">
      <c r="V101" s="20" t="s">
        <v>66</v>
      </c>
      <c r="W101" s="20" t="s">
        <v>736</v>
      </c>
      <c r="X101" s="9">
        <v>6</v>
      </c>
      <c r="Y101" s="9">
        <v>7.1</v>
      </c>
      <c r="Z101" s="12">
        <f t="shared" si="29"/>
        <v>14752.372369899311</v>
      </c>
    </row>
    <row r="102" spans="3:27" x14ac:dyDescent="0.25">
      <c r="C102" s="11" t="s">
        <v>86</v>
      </c>
      <c r="D102" s="10">
        <v>1.069073682</v>
      </c>
      <c r="E102" s="10">
        <v>1.0666715200000001</v>
      </c>
      <c r="F102" s="10">
        <v>1.0527455484999999</v>
      </c>
      <c r="G102" s="10">
        <v>1.2111207675</v>
      </c>
      <c r="H102" s="10">
        <v>1.3761601444</v>
      </c>
      <c r="I102" s="18">
        <v>1.5214045810000001</v>
      </c>
      <c r="J102" s="18">
        <v>1.049584217</v>
      </c>
      <c r="K102" s="18">
        <v>1.0497256066</v>
      </c>
      <c r="L102" s="18">
        <v>1.0517513733999999</v>
      </c>
      <c r="V102" s="20" t="s">
        <v>19</v>
      </c>
      <c r="W102" s="9" t="s">
        <v>19</v>
      </c>
      <c r="X102" s="12">
        <v>173</v>
      </c>
      <c r="Y102" s="9">
        <v>69.7</v>
      </c>
      <c r="Z102" s="12">
        <f t="shared" si="29"/>
        <v>14752.372369899311</v>
      </c>
    </row>
    <row r="103" spans="3:27" x14ac:dyDescent="0.25">
      <c r="D103" s="7"/>
      <c r="E103" s="7"/>
      <c r="F103" s="7"/>
      <c r="H103" s="7"/>
      <c r="J103" s="21"/>
      <c r="K103" s="21"/>
      <c r="L103" s="21">
        <f>AE85</f>
        <v>0</v>
      </c>
      <c r="V103" s="20" t="s">
        <v>22</v>
      </c>
      <c r="W103" s="9" t="s">
        <v>662</v>
      </c>
      <c r="X103" s="9">
        <v>31</v>
      </c>
      <c r="Y103" s="9">
        <v>8</v>
      </c>
      <c r="Z103" s="12">
        <f t="shared" si="29"/>
        <v>14752.372369899311</v>
      </c>
    </row>
    <row r="104" spans="3:27" x14ac:dyDescent="0.25">
      <c r="C104" s="97" t="s">
        <v>697</v>
      </c>
      <c r="D104" s="97" t="s">
        <v>698</v>
      </c>
      <c r="E104" s="97" t="s">
        <v>699</v>
      </c>
      <c r="F104" s="97"/>
      <c r="G104" s="97"/>
      <c r="H104" s="97"/>
      <c r="I104" s="97"/>
      <c r="J104" s="97"/>
      <c r="V104" s="20" t="s">
        <v>46</v>
      </c>
      <c r="W104" s="9" t="s">
        <v>46</v>
      </c>
      <c r="X104" s="12">
        <v>452</v>
      </c>
      <c r="Y104" s="9">
        <v>9.9</v>
      </c>
      <c r="Z104" s="12">
        <f t="shared" si="29"/>
        <v>14752.372369899311</v>
      </c>
    </row>
    <row r="105" spans="3:27" x14ac:dyDescent="0.25">
      <c r="C105" s="97" t="s">
        <v>700</v>
      </c>
      <c r="D105" s="100">
        <v>2081.2118305859203</v>
      </c>
      <c r="E105" s="97"/>
      <c r="F105" s="97"/>
      <c r="G105" s="97" t="s">
        <v>701</v>
      </c>
      <c r="H105" s="97">
        <v>1.03</v>
      </c>
      <c r="I105" s="97">
        <v>1.03</v>
      </c>
      <c r="J105" s="97">
        <v>0.998</v>
      </c>
      <c r="V105" s="20" t="s">
        <v>82</v>
      </c>
      <c r="W105" s="9" t="s">
        <v>663</v>
      </c>
      <c r="X105" s="12">
        <v>9</v>
      </c>
      <c r="Y105" s="9">
        <v>4</v>
      </c>
      <c r="Z105" s="12">
        <f t="shared" si="29"/>
        <v>14752.372369899311</v>
      </c>
    </row>
    <row r="106" spans="3:27" x14ac:dyDescent="0.25">
      <c r="C106" s="97" t="s">
        <v>702</v>
      </c>
      <c r="D106" s="100">
        <v>1181.5277119524503</v>
      </c>
      <c r="E106" s="100">
        <v>862.23804839752961</v>
      </c>
      <c r="F106" s="97"/>
      <c r="G106" s="97"/>
      <c r="H106" s="97"/>
      <c r="I106" s="100"/>
      <c r="J106" s="100"/>
      <c r="V106" s="20" t="s">
        <v>70</v>
      </c>
      <c r="W106" s="9" t="s">
        <v>664</v>
      </c>
      <c r="X106" s="12">
        <v>5</v>
      </c>
      <c r="Y106" s="9">
        <v>4.5</v>
      </c>
      <c r="Z106" s="12">
        <f t="shared" si="29"/>
        <v>14752.372369899311</v>
      </c>
      <c r="AA106" s="78"/>
    </row>
    <row r="107" spans="3:27" x14ac:dyDescent="0.25">
      <c r="C107" s="97" t="s">
        <v>703</v>
      </c>
      <c r="D107" s="100">
        <v>1181.5277119524503</v>
      </c>
      <c r="E107" s="100">
        <f>E106</f>
        <v>862.23804839752961</v>
      </c>
      <c r="F107" s="97"/>
      <c r="G107" s="97"/>
      <c r="H107" s="97"/>
      <c r="I107" s="97"/>
      <c r="J107" s="97"/>
      <c r="V107" s="20" t="s">
        <v>72</v>
      </c>
      <c r="W107" s="9" t="s">
        <v>665</v>
      </c>
      <c r="X107" s="12">
        <v>22</v>
      </c>
      <c r="Y107" s="9">
        <v>14.4</v>
      </c>
      <c r="Z107" s="12">
        <f t="shared" si="29"/>
        <v>14752.372369899311</v>
      </c>
    </row>
    <row r="108" spans="3:27" x14ac:dyDescent="0.25">
      <c r="C108" s="97" t="s">
        <v>704</v>
      </c>
      <c r="D108" s="100">
        <v>319.28966355492071</v>
      </c>
      <c r="E108" s="97"/>
      <c r="F108" s="97"/>
      <c r="G108" s="107"/>
      <c r="H108" s="106"/>
      <c r="I108" s="106"/>
      <c r="J108" s="106"/>
      <c r="V108" s="20" t="s">
        <v>70</v>
      </c>
      <c r="W108" s="9" t="s">
        <v>666</v>
      </c>
      <c r="X108" s="12">
        <v>26</v>
      </c>
      <c r="Y108" s="9">
        <v>16.899999999999999</v>
      </c>
      <c r="Z108" s="12">
        <f t="shared" si="29"/>
        <v>14752.372369899311</v>
      </c>
    </row>
    <row r="109" spans="3:27" x14ac:dyDescent="0.25">
      <c r="C109" s="97" t="s">
        <v>705</v>
      </c>
      <c r="D109" s="100">
        <v>445.53867389041011</v>
      </c>
      <c r="E109" s="97"/>
      <c r="F109" s="97"/>
      <c r="G109" s="107"/>
      <c r="H109" s="106"/>
      <c r="I109" s="106"/>
      <c r="J109" s="106"/>
      <c r="V109" s="74"/>
      <c r="W109" s="74" t="s">
        <v>512</v>
      </c>
      <c r="X109" s="74">
        <f>SUM(X92:X108)</f>
        <v>1847</v>
      </c>
      <c r="Y109" s="74">
        <f>SUM(Y92:Y108)</f>
        <v>196.20000000000002</v>
      </c>
      <c r="Z109" s="75">
        <f>SUM(Z92:Z108)</f>
        <v>221285.58554848959</v>
      </c>
    </row>
    <row r="110" spans="3:27" x14ac:dyDescent="0.25">
      <c r="W110" s="120"/>
      <c r="X110">
        <f>X109*L97</f>
        <v>426879.56435286306</v>
      </c>
      <c r="Y110">
        <f>Y109*L98</f>
        <v>125424.66988888392</v>
      </c>
      <c r="Z110" s="2">
        <f>X110+Y110+Z109</f>
        <v>773589.81979023654</v>
      </c>
    </row>
    <row r="111" spans="3:27" x14ac:dyDescent="0.25">
      <c r="C111" s="97"/>
      <c r="E111" s="98">
        <v>2016</v>
      </c>
      <c r="F111" s="98">
        <v>2017</v>
      </c>
      <c r="G111" s="98">
        <v>2018</v>
      </c>
      <c r="H111" s="98">
        <v>2019</v>
      </c>
      <c r="I111" s="98">
        <v>2020</v>
      </c>
      <c r="J111" s="98">
        <v>2021</v>
      </c>
      <c r="K111" s="98">
        <v>2022</v>
      </c>
      <c r="L111" s="98">
        <v>2023</v>
      </c>
    </row>
    <row r="112" spans="3:27" x14ac:dyDescent="0.25">
      <c r="C112" s="97" t="s">
        <v>696</v>
      </c>
      <c r="E112" s="99">
        <v>11.6</v>
      </c>
      <c r="F112" s="99">
        <v>11.6</v>
      </c>
      <c r="G112" s="99">
        <v>11.86</v>
      </c>
      <c r="H112" s="99">
        <v>11.93</v>
      </c>
      <c r="I112" s="99">
        <v>11.96</v>
      </c>
      <c r="J112" s="99">
        <v>11.96</v>
      </c>
      <c r="K112" s="99">
        <v>11.96</v>
      </c>
      <c r="L112" s="99">
        <v>11.96</v>
      </c>
      <c r="M112" s="2"/>
      <c r="N112" s="2"/>
      <c r="O112" s="2"/>
      <c r="P112" s="2"/>
      <c r="Q112" s="2"/>
      <c r="R112" s="2"/>
      <c r="S112" s="2"/>
    </row>
    <row r="113" spans="3:21" x14ac:dyDescent="0.25">
      <c r="C113" s="97"/>
      <c r="D113" s="100"/>
      <c r="E113" s="100"/>
      <c r="F113" s="100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5" spans="3:21" x14ac:dyDescent="0.25">
      <c r="F115" s="47" t="s">
        <v>730</v>
      </c>
      <c r="G115" s="117">
        <v>2018</v>
      </c>
      <c r="H115" s="117">
        <v>2019</v>
      </c>
      <c r="I115" s="117">
        <v>2020</v>
      </c>
      <c r="J115" s="117">
        <v>2021</v>
      </c>
      <c r="K115" s="98"/>
    </row>
    <row r="116" spans="3:21" x14ac:dyDescent="0.25">
      <c r="F116" s="47" t="s">
        <v>731</v>
      </c>
      <c r="G116">
        <v>25.1</v>
      </c>
      <c r="H116" s="118">
        <f>G116*H105</f>
        <v>25.853000000000002</v>
      </c>
      <c r="I116" s="118">
        <f>H116*I105</f>
        <v>26.628590000000003</v>
      </c>
      <c r="J116" s="118">
        <f>I116*J105</f>
        <v>26.575332820000003</v>
      </c>
      <c r="K116" s="118"/>
    </row>
    <row r="117" spans="3:21" x14ac:dyDescent="0.25">
      <c r="F117" s="47" t="s">
        <v>732</v>
      </c>
      <c r="H117" s="118">
        <v>2.25</v>
      </c>
      <c r="I117" s="118">
        <f>H117*I105</f>
        <v>2.3174999999999999</v>
      </c>
      <c r="J117" s="118">
        <f>I117*J105</f>
        <v>2.3128649999999999</v>
      </c>
      <c r="K117" s="118"/>
    </row>
    <row r="120" spans="3:21" x14ac:dyDescent="0.25">
      <c r="C120" s="152" t="s">
        <v>834</v>
      </c>
      <c r="D120" s="2">
        <v>697377.49977999949</v>
      </c>
      <c r="E120" s="2">
        <v>742610.76037199982</v>
      </c>
      <c r="F120" s="2">
        <f>F31/E31*E120</f>
        <v>803958.71167769341</v>
      </c>
      <c r="G120" s="2">
        <v>100000</v>
      </c>
      <c r="H120" s="4">
        <f t="shared" ref="H120" si="32">0.2*D120+0.3*E120+0.5*F120+G120</f>
        <v>864238.08390644658</v>
      </c>
      <c r="I120" s="2">
        <v>59</v>
      </c>
      <c r="J120" s="2">
        <v>97</v>
      </c>
      <c r="K120" s="114">
        <f>J120/J31*K31</f>
        <v>75.696669666966699</v>
      </c>
      <c r="L120" s="2">
        <v>520</v>
      </c>
      <c r="M120" s="2">
        <v>205</v>
      </c>
      <c r="N120" s="19">
        <f t="shared" ref="N120" si="33">I120+J120+L120+M120</f>
        <v>881</v>
      </c>
      <c r="O120" s="153">
        <v>2.09</v>
      </c>
      <c r="P120" s="114">
        <f>J120/J31*P31</f>
        <v>11.437443744374438</v>
      </c>
      <c r="Q120">
        <v>0</v>
      </c>
      <c r="R120">
        <v>75</v>
      </c>
      <c r="S120" s="3">
        <f t="shared" ref="S120" si="34">I120*L$87+J120*L$88+L120*L$92+M120*L$93+R120*L$95+K120*(($O120-1)*0.75+1)*L$89+$P120*L$91*(($O120-1)*0.75+1)+L$90*K120*O120+Q120*L$96</f>
        <v>977281.29862383485</v>
      </c>
      <c r="U120" s="15">
        <f t="shared" ref="U120" si="35">IF(ROUND(IF((S120-H120)&lt;0,0,S120-H120)*U$84,0)-T120&lt;-S120*0.02,T120-S120*0.02,ROUND(IF((S120-H120)&lt;0,0,S120-H120)*U$84,0))</f>
        <v>101739</v>
      </c>
    </row>
  </sheetData>
  <sortState xmlns:xlrd2="http://schemas.microsoft.com/office/spreadsheetml/2017/richdata2" ref="AM4:AO82">
    <sortCondition ref="AO4:AO82"/>
  </sortState>
  <mergeCells count="34">
    <mergeCell ref="X1:Z1"/>
    <mergeCell ref="R2:R3"/>
    <mergeCell ref="P2:P3"/>
    <mergeCell ref="W1:W3"/>
    <mergeCell ref="V1:V3"/>
    <mergeCell ref="I1:S1"/>
    <mergeCell ref="T1:U2"/>
    <mergeCell ref="Q2:Q3"/>
    <mergeCell ref="D1:H1"/>
    <mergeCell ref="D2:F2"/>
    <mergeCell ref="G2:G3"/>
    <mergeCell ref="H2:H3"/>
    <mergeCell ref="C85:C86"/>
    <mergeCell ref="A83:C83"/>
    <mergeCell ref="A1:A3"/>
    <mergeCell ref="B1:B3"/>
    <mergeCell ref="C1:C3"/>
    <mergeCell ref="D85:L85"/>
    <mergeCell ref="AF1:AF3"/>
    <mergeCell ref="AE1:AE3"/>
    <mergeCell ref="AA1:AB2"/>
    <mergeCell ref="AG1:AG3"/>
    <mergeCell ref="AC1:AD2"/>
    <mergeCell ref="Y89:Y91"/>
    <mergeCell ref="Z89:Z91"/>
    <mergeCell ref="I2:N2"/>
    <mergeCell ref="O2:O3"/>
    <mergeCell ref="W89:W91"/>
    <mergeCell ref="V89:V91"/>
    <mergeCell ref="X89:X91"/>
    <mergeCell ref="S2:S3"/>
    <mergeCell ref="X2:X3"/>
    <mergeCell ref="Y2:Y3"/>
    <mergeCell ref="Z2:Z3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102"/>
  <sheetViews>
    <sheetView tabSelected="1" workbookViewId="0">
      <pane xSplit="2" ySplit="3" topLeftCell="F55" activePane="bottomRight" state="frozen"/>
      <selection pane="topRight" activeCell="D1" sqref="D1"/>
      <selection pane="bottomLeft" activeCell="A4" sqref="A4"/>
      <selection pane="bottomRight" activeCell="AB88" sqref="AB88"/>
    </sheetView>
  </sheetViews>
  <sheetFormatPr defaultRowHeight="13.2" x14ac:dyDescent="0.25"/>
  <cols>
    <col min="1" max="1" width="8.6640625" bestFit="1" customWidth="1"/>
    <col min="2" max="2" width="15.88671875" customWidth="1"/>
    <col min="3" max="3" width="9.6640625" customWidth="1"/>
    <col min="4" max="4" width="10" customWidth="1"/>
    <col min="5" max="5" width="13.6640625" customWidth="1"/>
    <col min="6" max="6" width="13.33203125" customWidth="1"/>
    <col min="7" max="7" width="15" customWidth="1"/>
    <col min="8" max="8" width="11.6640625" customWidth="1"/>
    <col min="9" max="9" width="9.5546875" bestFit="1" customWidth="1"/>
    <col min="10" max="10" width="10.88671875" customWidth="1"/>
    <col min="11" max="11" width="9.5546875" bestFit="1" customWidth="1"/>
    <col min="12" max="12" width="9" customWidth="1"/>
    <col min="13" max="14" width="12.33203125" customWidth="1"/>
    <col min="15" max="15" width="9.6640625" customWidth="1"/>
    <col min="16" max="16" width="10.6640625" customWidth="1"/>
    <col min="17" max="17" width="8.5546875" customWidth="1"/>
    <col min="18" max="19" width="11.33203125" customWidth="1"/>
    <col min="20" max="20" width="9.6640625" customWidth="1"/>
    <col min="21" max="21" width="9.33203125" customWidth="1"/>
    <col min="22" max="22" width="11" customWidth="1"/>
    <col min="23" max="23" width="9.33203125" customWidth="1"/>
    <col min="24" max="24" width="11" customWidth="1"/>
    <col min="25" max="25" width="9.5546875" customWidth="1"/>
    <col min="26" max="26" width="9.77734375" customWidth="1"/>
    <col min="27" max="27" width="6.33203125" bestFit="1" customWidth="1"/>
  </cols>
  <sheetData>
    <row r="1" spans="1:27" ht="12.75" customHeight="1" x14ac:dyDescent="0.25">
      <c r="A1" s="284" t="s">
        <v>511</v>
      </c>
      <c r="B1" s="284" t="s">
        <v>510</v>
      </c>
      <c r="C1" s="284" t="s">
        <v>539</v>
      </c>
      <c r="D1" s="288" t="s">
        <v>689</v>
      </c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91"/>
      <c r="Q1" s="291"/>
      <c r="R1" s="291"/>
      <c r="S1" s="291"/>
      <c r="T1" s="291"/>
      <c r="U1" s="292"/>
      <c r="V1" s="292"/>
      <c r="W1" s="293"/>
      <c r="X1" s="284" t="s">
        <v>512</v>
      </c>
      <c r="Y1" s="296" t="s">
        <v>857</v>
      </c>
      <c r="Z1" s="296"/>
      <c r="AA1" s="296"/>
    </row>
    <row r="2" spans="1:27" ht="12.75" customHeight="1" x14ac:dyDescent="0.25">
      <c r="A2" s="284"/>
      <c r="B2" s="284"/>
      <c r="C2" s="286"/>
      <c r="D2" s="288" t="s">
        <v>540</v>
      </c>
      <c r="E2" s="289"/>
      <c r="F2" s="289"/>
      <c r="G2" s="289"/>
      <c r="H2" s="289"/>
      <c r="I2" s="289"/>
      <c r="J2" s="289"/>
      <c r="K2" s="290"/>
      <c r="L2" s="180"/>
      <c r="M2" s="284" t="s">
        <v>551</v>
      </c>
      <c r="N2" s="284" t="s">
        <v>550</v>
      </c>
      <c r="O2" s="284" t="s">
        <v>833</v>
      </c>
      <c r="P2" s="284" t="s">
        <v>541</v>
      </c>
      <c r="Q2" s="284" t="s">
        <v>575</v>
      </c>
      <c r="R2" s="284" t="s">
        <v>574</v>
      </c>
      <c r="S2" s="284" t="s">
        <v>779</v>
      </c>
      <c r="T2" s="284" t="s">
        <v>552</v>
      </c>
      <c r="U2" s="284" t="s">
        <v>542</v>
      </c>
      <c r="V2" s="284" t="s">
        <v>856</v>
      </c>
      <c r="W2" s="284" t="s">
        <v>751</v>
      </c>
      <c r="X2" s="284"/>
      <c r="Y2" s="284" t="s">
        <v>574</v>
      </c>
      <c r="Z2" s="284" t="s">
        <v>551</v>
      </c>
      <c r="AA2" s="284" t="s">
        <v>512</v>
      </c>
    </row>
    <row r="3" spans="1:27" ht="51.6" x14ac:dyDescent="0.25">
      <c r="A3" s="284"/>
      <c r="B3" s="284"/>
      <c r="C3" s="286"/>
      <c r="D3" s="140" t="s">
        <v>543</v>
      </c>
      <c r="E3" s="140" t="s">
        <v>544</v>
      </c>
      <c r="F3" s="140" t="s">
        <v>545</v>
      </c>
      <c r="G3" s="140" t="s">
        <v>546</v>
      </c>
      <c r="H3" s="140" t="s">
        <v>547</v>
      </c>
      <c r="I3" s="140" t="s">
        <v>548</v>
      </c>
      <c r="J3" s="140" t="s">
        <v>549</v>
      </c>
      <c r="K3" s="140" t="s">
        <v>589</v>
      </c>
      <c r="L3" s="140" t="s">
        <v>749</v>
      </c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  <c r="Z3" s="284"/>
      <c r="AA3" s="284"/>
    </row>
    <row r="4" spans="1:27" x14ac:dyDescent="0.25">
      <c r="A4" s="48" t="s">
        <v>69</v>
      </c>
      <c r="B4" s="49" t="s">
        <v>490</v>
      </c>
      <c r="C4" s="53">
        <f>Tasandusfond!AE4</f>
        <v>380973</v>
      </c>
      <c r="D4" s="53">
        <f>SUM(E4:L4)</f>
        <v>2435113</v>
      </c>
      <c r="E4" s="53">
        <f>Üldharidus!AJ4</f>
        <v>1935637</v>
      </c>
      <c r="F4" s="53">
        <f>Üldharidus!AQ4</f>
        <v>215200</v>
      </c>
      <c r="G4" s="53">
        <f>Üldharidus!AR4</f>
        <v>71164</v>
      </c>
      <c r="H4" s="53">
        <f>Üldharidus!AS4</f>
        <v>9598</v>
      </c>
      <c r="I4" s="53">
        <f>Üldharidus!AT4</f>
        <v>37791</v>
      </c>
      <c r="J4" s="53">
        <f>Üldharidus!AU4</f>
        <v>115850</v>
      </c>
      <c r="K4" s="53">
        <f>Üldharidus!AV4</f>
        <v>41580</v>
      </c>
      <c r="L4" s="53">
        <f>Üldharidus!AW4</f>
        <v>8293</v>
      </c>
      <c r="M4" s="53">
        <f>Lasteaed!G4</f>
        <v>111571</v>
      </c>
      <c r="N4" s="53">
        <f>Huvitegevus!U4</f>
        <v>118075</v>
      </c>
      <c r="O4" s="53">
        <f>'Abivajadusega lapsed'!E4</f>
        <v>12320</v>
      </c>
      <c r="P4" s="53">
        <f>Toimetulekutoetus!O4</f>
        <v>231495</v>
      </c>
      <c r="Q4" s="53">
        <f>Matusetoetus!N4</f>
        <v>22022</v>
      </c>
      <c r="R4" s="53">
        <f>Asendushooldus!T4</f>
        <v>345236</v>
      </c>
      <c r="S4" s="53">
        <f>'Pikaajaline hooldus'!E4</f>
        <v>192612</v>
      </c>
      <c r="T4" s="53">
        <f>Rahvastikutoimingud!Y4</f>
        <v>299</v>
      </c>
      <c r="U4" s="53">
        <f>'Kohalikud teed'!K4</f>
        <v>210495</v>
      </c>
      <c r="V4" s="53">
        <f>Energiatoetus!W4</f>
        <v>38877</v>
      </c>
      <c r="W4" s="53">
        <f>'Üleantud teed'!H5</f>
        <v>1608</v>
      </c>
      <c r="X4" s="54">
        <f>SUM(M4:W4)+C4+D4</f>
        <v>4100696</v>
      </c>
      <c r="Y4" s="53"/>
      <c r="Z4" s="53"/>
      <c r="AA4" s="19"/>
    </row>
    <row r="5" spans="1:27" x14ac:dyDescent="0.25">
      <c r="A5" s="48" t="s">
        <v>69</v>
      </c>
      <c r="B5" s="49" t="s">
        <v>488</v>
      </c>
      <c r="C5" s="53">
        <f>Tasandusfond!AE5</f>
        <v>3097</v>
      </c>
      <c r="D5" s="53">
        <f t="shared" ref="D5:D68" si="0">SUM(E5:L5)</f>
        <v>5133018</v>
      </c>
      <c r="E5" s="53">
        <f>Üldharidus!AJ5</f>
        <v>4341453</v>
      </c>
      <c r="F5" s="53">
        <f>Üldharidus!AQ5</f>
        <v>0</v>
      </c>
      <c r="G5" s="53">
        <f>Üldharidus!AR5</f>
        <v>172684</v>
      </c>
      <c r="H5" s="53">
        <f>Üldharidus!AS5</f>
        <v>22524</v>
      </c>
      <c r="I5" s="53">
        <f>Üldharidus!AT5</f>
        <v>106989</v>
      </c>
      <c r="J5" s="53">
        <f>Üldharidus!AU5</f>
        <v>327600</v>
      </c>
      <c r="K5" s="53">
        <f>Üldharidus!AV5</f>
        <v>143748</v>
      </c>
      <c r="L5" s="53">
        <f>Üldharidus!AW5</f>
        <v>18020</v>
      </c>
      <c r="M5" s="53">
        <f>Lasteaed!G5</f>
        <v>96073</v>
      </c>
      <c r="N5" s="53">
        <f>Huvitegevus!U5</f>
        <v>108509</v>
      </c>
      <c r="O5" s="53">
        <f>'Abivajadusega lapsed'!E5</f>
        <v>30601</v>
      </c>
      <c r="P5" s="53">
        <f>Toimetulekutoetus!O5</f>
        <v>84092</v>
      </c>
      <c r="Q5" s="53">
        <f>Matusetoetus!N5</f>
        <v>32712</v>
      </c>
      <c r="R5" s="53">
        <f>Asendushooldus!T5</f>
        <v>175823</v>
      </c>
      <c r="S5" s="53">
        <f>'Pikaajaline hooldus'!E5</f>
        <v>257509</v>
      </c>
      <c r="T5" s="53">
        <f>Rahvastikutoimingud!Y5</f>
        <v>783</v>
      </c>
      <c r="U5" s="53">
        <f>'Kohalikud teed'!K5</f>
        <v>269120</v>
      </c>
      <c r="V5" s="53">
        <f>Energiatoetus!W5</f>
        <v>84865</v>
      </c>
      <c r="W5" s="53"/>
      <c r="X5" s="54">
        <f t="shared" ref="X5:X68" si="1">SUM(M5:W5)+C5+D5</f>
        <v>6276202</v>
      </c>
      <c r="Y5" s="53"/>
      <c r="Z5" s="53"/>
      <c r="AA5" s="19"/>
    </row>
    <row r="6" spans="1:27" x14ac:dyDescent="0.25">
      <c r="A6" s="48" t="s">
        <v>69</v>
      </c>
      <c r="B6" s="49" t="s">
        <v>486</v>
      </c>
      <c r="C6" s="53">
        <f>Tasandusfond!AE6</f>
        <v>62765</v>
      </c>
      <c r="D6" s="53">
        <f t="shared" si="0"/>
        <v>3015622</v>
      </c>
      <c r="E6" s="53">
        <f>Üldharidus!AJ6</f>
        <v>2368938</v>
      </c>
      <c r="F6" s="53">
        <f>Üldharidus!AQ6</f>
        <v>247052</v>
      </c>
      <c r="G6" s="53">
        <f>Üldharidus!AR6</f>
        <v>77832</v>
      </c>
      <c r="H6" s="53">
        <f>Üldharidus!AS6</f>
        <v>10152</v>
      </c>
      <c r="I6" s="53">
        <f>Üldharidus!AT6</f>
        <v>48222</v>
      </c>
      <c r="J6" s="53">
        <f>Üldharidus!AU6</f>
        <v>147875</v>
      </c>
      <c r="K6" s="53">
        <f>Üldharidus!AV6</f>
        <v>105732</v>
      </c>
      <c r="L6" s="53">
        <f>Üldharidus!AW6</f>
        <v>9819</v>
      </c>
      <c r="M6" s="53">
        <f>Lasteaed!G6</f>
        <v>70315</v>
      </c>
      <c r="N6" s="53">
        <f>Huvitegevus!U6</f>
        <v>77090</v>
      </c>
      <c r="O6" s="53">
        <f>'Abivajadusega lapsed'!E6</f>
        <v>9538</v>
      </c>
      <c r="P6" s="53">
        <f>Toimetulekutoetus!O6</f>
        <v>62755</v>
      </c>
      <c r="Q6" s="53">
        <f>Matusetoetus!N6</f>
        <v>16455</v>
      </c>
      <c r="R6" s="53">
        <f>Asendushooldus!T6</f>
        <v>21978</v>
      </c>
      <c r="S6" s="53">
        <f>'Pikaajaline hooldus'!E6</f>
        <v>145306</v>
      </c>
      <c r="T6" s="53">
        <f>Rahvastikutoimingud!Y6</f>
        <v>348</v>
      </c>
      <c r="U6" s="53">
        <f>'Kohalikud teed'!K6</f>
        <v>152918</v>
      </c>
      <c r="V6" s="53">
        <f>Energiatoetus!W6</f>
        <v>51161</v>
      </c>
      <c r="W6" s="53"/>
      <c r="X6" s="54">
        <f t="shared" si="1"/>
        <v>3686251</v>
      </c>
      <c r="Y6" s="53"/>
      <c r="Z6" s="53"/>
      <c r="AA6" s="19"/>
    </row>
    <row r="7" spans="1:27" x14ac:dyDescent="0.25">
      <c r="A7" s="48" t="s">
        <v>69</v>
      </c>
      <c r="B7" s="49" t="s">
        <v>81</v>
      </c>
      <c r="C7" s="53">
        <f>Tasandusfond!AE7</f>
        <v>0</v>
      </c>
      <c r="D7" s="53">
        <f t="shared" si="0"/>
        <v>5221374</v>
      </c>
      <c r="E7" s="53">
        <f>Üldharidus!AJ7</f>
        <v>3738916</v>
      </c>
      <c r="F7" s="53">
        <f>Üldharidus!AQ7</f>
        <v>618570</v>
      </c>
      <c r="G7" s="53">
        <f>Üldharidus!AR7</f>
        <v>157136</v>
      </c>
      <c r="H7" s="53">
        <f>Üldharidus!AS7</f>
        <v>20496</v>
      </c>
      <c r="I7" s="53">
        <f>Üldharidus!AT7</f>
        <v>97356</v>
      </c>
      <c r="J7" s="53">
        <f>Üldharidus!AU7</f>
        <v>281225</v>
      </c>
      <c r="K7" s="53">
        <f>Üldharidus!AV7</f>
        <v>293436</v>
      </c>
      <c r="L7" s="53">
        <f>Üldharidus!AW7</f>
        <v>14239</v>
      </c>
      <c r="M7" s="53">
        <f>Lasteaed!G7</f>
        <v>117771</v>
      </c>
      <c r="N7" s="53">
        <f>Huvitegevus!U7</f>
        <v>37038</v>
      </c>
      <c r="O7" s="53">
        <f>'Abivajadusega lapsed'!E7</f>
        <v>28614</v>
      </c>
      <c r="P7" s="53">
        <f>Toimetulekutoetus!O7</f>
        <v>235053</v>
      </c>
      <c r="Q7" s="53">
        <f>Matusetoetus!N7</f>
        <v>25265</v>
      </c>
      <c r="R7" s="53">
        <f>Asendushooldus!T7</f>
        <v>31135</v>
      </c>
      <c r="S7" s="53">
        <f>'Pikaajaline hooldus'!E7</f>
        <v>247872</v>
      </c>
      <c r="T7" s="53">
        <f>Rahvastikutoimingud!Y7</f>
        <v>562</v>
      </c>
      <c r="U7" s="53">
        <f>'Kohalikud teed'!K7</f>
        <v>176269</v>
      </c>
      <c r="V7" s="53">
        <f>Energiatoetus!W7</f>
        <v>63501</v>
      </c>
      <c r="W7" s="53"/>
      <c r="X7" s="54">
        <f t="shared" si="1"/>
        <v>6184454</v>
      </c>
      <c r="Y7" s="53"/>
      <c r="Z7" s="53"/>
      <c r="AA7" s="19"/>
    </row>
    <row r="8" spans="1:27" x14ac:dyDescent="0.25">
      <c r="A8" s="48" t="s">
        <v>69</v>
      </c>
      <c r="B8" s="49" t="s">
        <v>480</v>
      </c>
      <c r="C8" s="53">
        <f>Tasandusfond!AE8</f>
        <v>828</v>
      </c>
      <c r="D8" s="53">
        <f t="shared" si="0"/>
        <v>2716870</v>
      </c>
      <c r="E8" s="53">
        <f>Üldharidus!AJ8</f>
        <v>2022208</v>
      </c>
      <c r="F8" s="53">
        <f>Üldharidus!AQ8</f>
        <v>299724</v>
      </c>
      <c r="G8" s="53">
        <f>Üldharidus!AR8</f>
        <v>88964</v>
      </c>
      <c r="H8" s="53">
        <f>Üldharidus!AS8</f>
        <v>11604</v>
      </c>
      <c r="I8" s="53">
        <f>Üldharidus!AT8</f>
        <v>55119</v>
      </c>
      <c r="J8" s="53">
        <f>Üldharidus!AU8</f>
        <v>169050</v>
      </c>
      <c r="K8" s="53">
        <f>Üldharidus!AV8</f>
        <v>61776</v>
      </c>
      <c r="L8" s="53">
        <f>Üldharidus!AW8</f>
        <v>8425</v>
      </c>
      <c r="M8" s="53">
        <f>Lasteaed!G8</f>
        <v>57932</v>
      </c>
      <c r="N8" s="53">
        <f>Huvitegevus!U8</f>
        <v>59164</v>
      </c>
      <c r="O8" s="53">
        <f>'Abivajadusega lapsed'!E8</f>
        <v>12717</v>
      </c>
      <c r="P8" s="53">
        <f>Toimetulekutoetus!O8</f>
        <v>24306</v>
      </c>
      <c r="Q8" s="53">
        <f>Matusetoetus!N8</f>
        <v>6741</v>
      </c>
      <c r="R8" s="53">
        <f>Asendushooldus!T8</f>
        <v>0</v>
      </c>
      <c r="S8" s="53">
        <f>'Pikaajaline hooldus'!E8</f>
        <v>84545</v>
      </c>
      <c r="T8" s="53">
        <f>Rahvastikutoimingud!Y8</f>
        <v>316</v>
      </c>
      <c r="U8" s="53">
        <f>'Kohalikud teed'!K8</f>
        <v>171537</v>
      </c>
      <c r="V8" s="53">
        <f>Energiatoetus!W8</f>
        <v>22353</v>
      </c>
      <c r="W8" s="53"/>
      <c r="X8" s="54">
        <f t="shared" si="1"/>
        <v>3157309</v>
      </c>
      <c r="Y8" s="53"/>
      <c r="Z8" s="53"/>
      <c r="AA8" s="19"/>
    </row>
    <row r="9" spans="1:27" x14ac:dyDescent="0.25">
      <c r="A9" s="48" t="s">
        <v>69</v>
      </c>
      <c r="B9" s="49" t="s">
        <v>478</v>
      </c>
      <c r="C9" s="53">
        <f>Tasandusfond!AE9</f>
        <v>1464536</v>
      </c>
      <c r="D9" s="53">
        <f t="shared" si="0"/>
        <v>3642605</v>
      </c>
      <c r="E9" s="53">
        <f>Üldharidus!AJ9</f>
        <v>2813279</v>
      </c>
      <c r="F9" s="53">
        <f>Üldharidus!AQ9</f>
        <v>322093</v>
      </c>
      <c r="G9" s="53">
        <f>Üldharidus!AR9</f>
        <v>96416</v>
      </c>
      <c r="H9" s="53">
        <f>Üldharidus!AS9</f>
        <v>12576</v>
      </c>
      <c r="I9" s="53">
        <f>Üldharidus!AT9</f>
        <v>59736</v>
      </c>
      <c r="J9" s="53">
        <f>Üldharidus!AU9</f>
        <v>183225</v>
      </c>
      <c r="K9" s="53">
        <f>Üldharidus!AV9</f>
        <v>143748</v>
      </c>
      <c r="L9" s="53">
        <f>Üldharidus!AW9</f>
        <v>11532</v>
      </c>
      <c r="M9" s="53">
        <f>Lasteaed!G9</f>
        <v>151632</v>
      </c>
      <c r="N9" s="53">
        <f>Huvitegevus!U9</f>
        <v>107358</v>
      </c>
      <c r="O9" s="53">
        <f>'Abivajadusega lapsed'!E9</f>
        <v>17089</v>
      </c>
      <c r="P9" s="53">
        <f>Toimetulekutoetus!O9</f>
        <v>264123</v>
      </c>
      <c r="Q9" s="53">
        <f>Matusetoetus!N9</f>
        <v>20697</v>
      </c>
      <c r="R9" s="53">
        <f>Asendushooldus!T9</f>
        <v>64102</v>
      </c>
      <c r="S9" s="53">
        <f>'Pikaajaline hooldus'!E9</f>
        <v>184341</v>
      </c>
      <c r="T9" s="53">
        <f>Rahvastikutoimingud!Y9</f>
        <v>499</v>
      </c>
      <c r="U9" s="53">
        <f>'Kohalikud teed'!K9</f>
        <v>222808</v>
      </c>
      <c r="V9" s="53">
        <f>Energiatoetus!W9</f>
        <v>105775</v>
      </c>
      <c r="W9" s="53"/>
      <c r="X9" s="54">
        <f t="shared" si="1"/>
        <v>6245565</v>
      </c>
      <c r="Y9" s="53"/>
      <c r="Z9" s="53"/>
      <c r="AA9" s="19"/>
    </row>
    <row r="10" spans="1:27" x14ac:dyDescent="0.25">
      <c r="A10" s="48" t="s">
        <v>69</v>
      </c>
      <c r="B10" s="49" t="s">
        <v>476</v>
      </c>
      <c r="C10" s="53">
        <f>Tasandusfond!AE10</f>
        <v>563393</v>
      </c>
      <c r="D10" s="53">
        <f t="shared" si="0"/>
        <v>2814336</v>
      </c>
      <c r="E10" s="53">
        <f>Üldharidus!AJ10</f>
        <v>2118919</v>
      </c>
      <c r="F10" s="53">
        <f>Üldharidus!AQ10</f>
        <v>304680</v>
      </c>
      <c r="G10" s="53">
        <f>Üldharidus!AR10</f>
        <v>78292</v>
      </c>
      <c r="H10" s="53">
        <f>Üldharidus!AS10</f>
        <v>10747</v>
      </c>
      <c r="I10" s="53">
        <f>Üldharidus!AT10</f>
        <v>48507</v>
      </c>
      <c r="J10" s="53">
        <f>Üldharidus!AU10</f>
        <v>148225</v>
      </c>
      <c r="K10" s="53">
        <f>Üldharidus!AV10</f>
        <v>96228</v>
      </c>
      <c r="L10" s="53">
        <f>Üldharidus!AW10</f>
        <v>8738</v>
      </c>
      <c r="M10" s="53">
        <f>Lasteaed!G10</f>
        <v>31321</v>
      </c>
      <c r="N10" s="53">
        <f>Huvitegevus!U10</f>
        <v>93157</v>
      </c>
      <c r="O10" s="53">
        <f>'Abivajadusega lapsed'!E10</f>
        <v>12320</v>
      </c>
      <c r="P10" s="53">
        <f>Toimetulekutoetus!O10</f>
        <v>35897</v>
      </c>
      <c r="Q10" s="53">
        <f>Matusetoetus!N10</f>
        <v>22199</v>
      </c>
      <c r="R10" s="53">
        <f>Asendushooldus!T10</f>
        <v>39377</v>
      </c>
      <c r="S10" s="53">
        <f>'Pikaajaline hooldus'!E10</f>
        <v>190255</v>
      </c>
      <c r="T10" s="53">
        <f>Rahvastikutoimingud!Y10</f>
        <v>248</v>
      </c>
      <c r="U10" s="53">
        <f>'Kohalikud teed'!K10</f>
        <v>233907</v>
      </c>
      <c r="V10" s="53">
        <f>Energiatoetus!W10</f>
        <v>131657</v>
      </c>
      <c r="W10" s="53"/>
      <c r="X10" s="54">
        <f t="shared" si="1"/>
        <v>4168067</v>
      </c>
      <c r="Y10" s="53"/>
      <c r="Z10" s="53"/>
      <c r="AA10" s="19"/>
    </row>
    <row r="11" spans="1:27" x14ac:dyDescent="0.25">
      <c r="A11" s="48" t="s">
        <v>69</v>
      </c>
      <c r="B11" s="49" t="s">
        <v>83</v>
      </c>
      <c r="C11" s="53">
        <f>Tasandusfond!AE11</f>
        <v>387870</v>
      </c>
      <c r="D11" s="53">
        <f t="shared" si="0"/>
        <v>940019</v>
      </c>
      <c r="E11" s="53">
        <f>Üldharidus!AJ11</f>
        <v>733356</v>
      </c>
      <c r="F11" s="53">
        <f>Üldharidus!AQ11</f>
        <v>85575</v>
      </c>
      <c r="G11" s="53">
        <f>Üldharidus!AR11</f>
        <v>34199</v>
      </c>
      <c r="H11" s="53">
        <f>Üldharidus!AS11</f>
        <v>6498</v>
      </c>
      <c r="I11" s="53">
        <f>Üldharidus!AT11</f>
        <v>14022</v>
      </c>
      <c r="J11" s="53">
        <f>Üldharidus!AU11</f>
        <v>43050</v>
      </c>
      <c r="K11" s="53">
        <f>Üldharidus!AV11</f>
        <v>20196</v>
      </c>
      <c r="L11" s="53">
        <f>Üldharidus!AW11</f>
        <v>3123</v>
      </c>
      <c r="M11" s="53">
        <f>Lasteaed!G11</f>
        <v>46690</v>
      </c>
      <c r="N11" s="53">
        <f>Huvitegevus!U11</f>
        <v>43516</v>
      </c>
      <c r="O11" s="53">
        <f>'Abivajadusega lapsed'!E11</f>
        <v>1192</v>
      </c>
      <c r="P11" s="53">
        <f>Toimetulekutoetus!O11</f>
        <v>267040</v>
      </c>
      <c r="Q11" s="53">
        <f>Matusetoetus!N11</f>
        <v>10547</v>
      </c>
      <c r="R11" s="53">
        <f>Asendushooldus!T11</f>
        <v>124533</v>
      </c>
      <c r="S11" s="53">
        <f>'Pikaajaline hooldus'!E11</f>
        <v>105822</v>
      </c>
      <c r="T11" s="53">
        <f>Rahvastikutoimingud!Y11</f>
        <v>89</v>
      </c>
      <c r="U11" s="53">
        <f>'Kohalikud teed'!K11</f>
        <v>58169</v>
      </c>
      <c r="V11" s="53">
        <f>Energiatoetus!W11</f>
        <v>39739</v>
      </c>
      <c r="W11" s="53"/>
      <c r="X11" s="54">
        <f t="shared" si="1"/>
        <v>2025226</v>
      </c>
      <c r="Y11" s="53"/>
      <c r="Z11" s="53"/>
      <c r="AA11" s="19"/>
    </row>
    <row r="12" spans="1:27" x14ac:dyDescent="0.25">
      <c r="A12" s="48" t="s">
        <v>69</v>
      </c>
      <c r="B12" s="49" t="s">
        <v>605</v>
      </c>
      <c r="C12" s="53">
        <f>Tasandusfond!AE12</f>
        <v>1206753</v>
      </c>
      <c r="D12" s="53">
        <f t="shared" si="0"/>
        <v>5077683</v>
      </c>
      <c r="E12" s="53">
        <f>Üldharidus!AJ12</f>
        <v>4107841</v>
      </c>
      <c r="F12" s="53">
        <f>Üldharidus!AQ12</f>
        <v>237427</v>
      </c>
      <c r="G12" s="53">
        <f>Üldharidus!AR12</f>
        <v>166722</v>
      </c>
      <c r="H12" s="53">
        <f>Üldharidus!AS12</f>
        <v>18484</v>
      </c>
      <c r="I12" s="53">
        <f>Üldharidus!AT12</f>
        <v>70452</v>
      </c>
      <c r="J12" s="53">
        <f>Üldharidus!AU12</f>
        <v>213850</v>
      </c>
      <c r="K12" s="53">
        <f>Üldharidus!AV12</f>
        <v>245916</v>
      </c>
      <c r="L12" s="53">
        <f>Üldharidus!AW12</f>
        <v>16991</v>
      </c>
      <c r="M12" s="53">
        <f>Lasteaed!G12</f>
        <v>181061</v>
      </c>
      <c r="N12" s="53">
        <f>Huvitegevus!U12</f>
        <v>183863</v>
      </c>
      <c r="O12" s="53">
        <f>'Abivajadusega lapsed'!E12</f>
        <v>29409</v>
      </c>
      <c r="P12" s="53">
        <f>Toimetulekutoetus!O12</f>
        <v>737408</v>
      </c>
      <c r="Q12" s="53">
        <f>Matusetoetus!N12</f>
        <v>44536</v>
      </c>
      <c r="R12" s="53">
        <f>Asendushooldus!T12</f>
        <v>361720</v>
      </c>
      <c r="S12" s="53">
        <f>'Pikaajaline hooldus'!E12</f>
        <v>356650</v>
      </c>
      <c r="T12" s="53">
        <f>Rahvastikutoimingud!Y12</f>
        <v>664</v>
      </c>
      <c r="U12" s="53">
        <f>'Kohalikud teed'!K12</f>
        <v>476416</v>
      </c>
      <c r="V12" s="53">
        <f>Energiatoetus!W12</f>
        <v>57638</v>
      </c>
      <c r="W12" s="53"/>
      <c r="X12" s="54">
        <f t="shared" si="1"/>
        <v>8713801</v>
      </c>
      <c r="Y12" s="53"/>
      <c r="Z12" s="53"/>
      <c r="AA12" s="19"/>
    </row>
    <row r="13" spans="1:27" x14ac:dyDescent="0.25">
      <c r="A13" s="48" t="s">
        <v>69</v>
      </c>
      <c r="B13" s="49" t="s">
        <v>68</v>
      </c>
      <c r="C13" s="53">
        <f>Tasandusfond!AE13</f>
        <v>0</v>
      </c>
      <c r="D13" s="53">
        <f t="shared" si="0"/>
        <v>4662428</v>
      </c>
      <c r="E13" s="53">
        <f>Üldharidus!AJ13</f>
        <v>3370419</v>
      </c>
      <c r="F13" s="53">
        <f>Üldharidus!AQ13</f>
        <v>579170</v>
      </c>
      <c r="G13" s="53">
        <f>Üldharidus!AR13</f>
        <v>150420</v>
      </c>
      <c r="H13" s="53">
        <f>Üldharidus!AS13</f>
        <v>19620</v>
      </c>
      <c r="I13" s="53">
        <f>Üldharidus!AT13</f>
        <v>93195</v>
      </c>
      <c r="J13" s="53">
        <f>Üldharidus!AU13</f>
        <v>268450</v>
      </c>
      <c r="K13" s="53">
        <f>Üldharidus!AV13</f>
        <v>167508</v>
      </c>
      <c r="L13" s="53">
        <f>Üldharidus!AW13</f>
        <v>13646</v>
      </c>
      <c r="M13" s="53">
        <f>Lasteaed!G13</f>
        <v>201830</v>
      </c>
      <c r="N13" s="53">
        <f>Huvitegevus!U13</f>
        <v>85362</v>
      </c>
      <c r="O13" s="53">
        <f>'Abivajadusega lapsed'!E13</f>
        <v>19474</v>
      </c>
      <c r="P13" s="53">
        <f>Toimetulekutoetus!O13</f>
        <v>504049</v>
      </c>
      <c r="Q13" s="53">
        <f>Matusetoetus!N13</f>
        <v>55383</v>
      </c>
      <c r="R13" s="53">
        <f>Asendushooldus!T13</f>
        <v>26531</v>
      </c>
      <c r="S13" s="53">
        <f>'Pikaajaline hooldus'!E13</f>
        <v>424185</v>
      </c>
      <c r="T13" s="53">
        <f>Rahvastikutoimingud!Y13</f>
        <v>707</v>
      </c>
      <c r="U13" s="53">
        <f>'Kohalikud teed'!K13</f>
        <v>345219</v>
      </c>
      <c r="V13" s="53">
        <f>Energiatoetus!W13</f>
        <v>83973</v>
      </c>
      <c r="W13" s="53"/>
      <c r="X13" s="54">
        <f t="shared" si="1"/>
        <v>6409141</v>
      </c>
      <c r="Y13" s="53"/>
      <c r="Z13" s="53"/>
      <c r="AA13" s="19"/>
    </row>
    <row r="14" spans="1:27" x14ac:dyDescent="0.25">
      <c r="A14" s="48" t="s">
        <v>69</v>
      </c>
      <c r="B14" s="49" t="s">
        <v>470</v>
      </c>
      <c r="C14" s="53">
        <f>Tasandusfond!AE14</f>
        <v>200959</v>
      </c>
      <c r="D14" s="53">
        <f t="shared" si="0"/>
        <v>2315925</v>
      </c>
      <c r="E14" s="53">
        <f>Üldharidus!AJ14</f>
        <v>1998293</v>
      </c>
      <c r="F14" s="53">
        <f>Üldharidus!AQ14</f>
        <v>0</v>
      </c>
      <c r="G14" s="53">
        <f>Üldharidus!AR14</f>
        <v>61068</v>
      </c>
      <c r="H14" s="53">
        <f>Üldharidus!AS14</f>
        <v>7896</v>
      </c>
      <c r="I14" s="53">
        <f>Üldharidus!AT14</f>
        <v>37506</v>
      </c>
      <c r="J14" s="53">
        <f>Üldharidus!AU14</f>
        <v>114975</v>
      </c>
      <c r="K14" s="53">
        <f>Üldharidus!AV14</f>
        <v>87912</v>
      </c>
      <c r="L14" s="53">
        <f>Üldharidus!AW14</f>
        <v>8275</v>
      </c>
      <c r="M14" s="53">
        <f>Lasteaed!G14</f>
        <v>106120</v>
      </c>
      <c r="N14" s="53">
        <f>Huvitegevus!U14</f>
        <v>47735</v>
      </c>
      <c r="O14" s="53">
        <f>'Abivajadusega lapsed'!E14</f>
        <v>9936</v>
      </c>
      <c r="P14" s="53">
        <f>Toimetulekutoetus!O14</f>
        <v>36142</v>
      </c>
      <c r="Q14" s="53">
        <f>Matusetoetus!N14</f>
        <v>12778</v>
      </c>
      <c r="R14" s="53">
        <f>Asendushooldus!T14</f>
        <v>69701</v>
      </c>
      <c r="S14" s="53">
        <f>'Pikaajaline hooldus'!E14</f>
        <v>114280</v>
      </c>
      <c r="T14" s="53">
        <f>Rahvastikutoimingud!Y14</f>
        <v>373</v>
      </c>
      <c r="U14" s="53">
        <f>'Kohalikud teed'!K14</f>
        <v>177236</v>
      </c>
      <c r="V14" s="53">
        <f>Energiatoetus!W14</f>
        <v>27171</v>
      </c>
      <c r="W14" s="53"/>
      <c r="X14" s="54">
        <f t="shared" si="1"/>
        <v>3118356</v>
      </c>
      <c r="Y14" s="53"/>
      <c r="Z14" s="53"/>
      <c r="AA14" s="19"/>
    </row>
    <row r="15" spans="1:27" x14ac:dyDescent="0.25">
      <c r="A15" s="48" t="s">
        <v>69</v>
      </c>
      <c r="B15" s="49" t="s">
        <v>468</v>
      </c>
      <c r="C15" s="53">
        <f>Tasandusfond!AE15</f>
        <v>0</v>
      </c>
      <c r="D15" s="53">
        <f t="shared" si="0"/>
        <v>10489299</v>
      </c>
      <c r="E15" s="53">
        <f>Üldharidus!AJ15</f>
        <v>8214082</v>
      </c>
      <c r="F15" s="53">
        <f>Üldharidus!AQ15</f>
        <v>614034</v>
      </c>
      <c r="G15" s="53">
        <f>Üldharidus!AR15</f>
        <v>343804</v>
      </c>
      <c r="H15" s="53">
        <f>Üldharidus!AS15</f>
        <v>44844</v>
      </c>
      <c r="I15" s="53">
        <f>Üldharidus!AT15</f>
        <v>212963</v>
      </c>
      <c r="J15" s="53">
        <f>Üldharidus!AU15</f>
        <v>651875</v>
      </c>
      <c r="K15" s="53">
        <f>Üldharidus!AV15</f>
        <v>374220</v>
      </c>
      <c r="L15" s="53">
        <f>Üldharidus!AW15</f>
        <v>33477</v>
      </c>
      <c r="M15" s="53">
        <f>Lasteaed!G15</f>
        <v>212027</v>
      </c>
      <c r="N15" s="53">
        <f>Huvitegevus!U15</f>
        <v>112642</v>
      </c>
      <c r="O15" s="53">
        <f>'Abivajadusega lapsed'!E15</f>
        <v>47293</v>
      </c>
      <c r="P15" s="53">
        <f>Toimetulekutoetus!O15</f>
        <v>125824</v>
      </c>
      <c r="Q15" s="53">
        <f>Matusetoetus!N15</f>
        <v>26560</v>
      </c>
      <c r="R15" s="53">
        <f>Asendushooldus!T15</f>
        <v>69301</v>
      </c>
      <c r="S15" s="53">
        <f>'Pikaajaline hooldus'!E15</f>
        <v>228242</v>
      </c>
      <c r="T15" s="53">
        <f>Rahvastikutoimingud!Y15</f>
        <v>1671</v>
      </c>
      <c r="U15" s="53">
        <f>'Kohalikud teed'!K15</f>
        <v>268647</v>
      </c>
      <c r="V15" s="53">
        <f>Energiatoetus!W15</f>
        <v>449419</v>
      </c>
      <c r="W15" s="53"/>
      <c r="X15" s="54">
        <f t="shared" si="1"/>
        <v>12030925</v>
      </c>
      <c r="Y15" s="53"/>
      <c r="Z15" s="53"/>
      <c r="AA15" s="19"/>
    </row>
    <row r="16" spans="1:27" x14ac:dyDescent="0.25">
      <c r="A16" s="48" t="s">
        <v>69</v>
      </c>
      <c r="B16" s="49" t="s">
        <v>466</v>
      </c>
      <c r="C16" s="53">
        <f>Tasandusfond!AE16</f>
        <v>0</v>
      </c>
      <c r="D16" s="53">
        <f t="shared" si="0"/>
        <v>5174660</v>
      </c>
      <c r="E16" s="53">
        <f>Üldharidus!AJ16</f>
        <v>3713380</v>
      </c>
      <c r="F16" s="53">
        <f>Üldharidus!AQ16</f>
        <v>628052</v>
      </c>
      <c r="G16" s="53">
        <f>Üldharidus!AR16</f>
        <v>164864</v>
      </c>
      <c r="H16" s="53">
        <f>Üldharidus!AS16</f>
        <v>21504</v>
      </c>
      <c r="I16" s="53">
        <f>Üldharidus!AT16</f>
        <v>102144</v>
      </c>
      <c r="J16" s="53">
        <f>Üldharidus!AU16</f>
        <v>313250</v>
      </c>
      <c r="K16" s="53">
        <f>Üldharidus!AV16</f>
        <v>216691</v>
      </c>
      <c r="L16" s="53">
        <f>Üldharidus!AW16</f>
        <v>14775</v>
      </c>
      <c r="M16" s="53">
        <f>Lasteaed!G16</f>
        <v>70493</v>
      </c>
      <c r="N16" s="53">
        <f>Huvitegevus!U16</f>
        <v>100387</v>
      </c>
      <c r="O16" s="53">
        <f>'Abivajadusega lapsed'!E16</f>
        <v>22653</v>
      </c>
      <c r="P16" s="53">
        <f>Toimetulekutoetus!O16</f>
        <v>96209</v>
      </c>
      <c r="Q16" s="53">
        <f>Matusetoetus!N16</f>
        <v>15398</v>
      </c>
      <c r="R16" s="53">
        <f>Asendushooldus!T16</f>
        <v>86996</v>
      </c>
      <c r="S16" s="53">
        <f>'Pikaajaline hooldus'!E16</f>
        <v>216097</v>
      </c>
      <c r="T16" s="53">
        <f>Rahvastikutoimingud!Y16</f>
        <v>538</v>
      </c>
      <c r="U16" s="53">
        <f>'Kohalikud teed'!K16</f>
        <v>196223</v>
      </c>
      <c r="V16" s="53">
        <f>Energiatoetus!W16</f>
        <v>137399</v>
      </c>
      <c r="W16" s="53"/>
      <c r="X16" s="54">
        <f t="shared" si="1"/>
        <v>6117053</v>
      </c>
      <c r="Y16" s="53"/>
      <c r="Z16" s="53"/>
      <c r="AA16" s="19"/>
    </row>
    <row r="17" spans="1:27" x14ac:dyDescent="0.25">
      <c r="A17" s="48" t="s">
        <v>69</v>
      </c>
      <c r="B17" s="49" t="s">
        <v>464</v>
      </c>
      <c r="C17" s="53">
        <f>Tasandusfond!AE17</f>
        <v>352336</v>
      </c>
      <c r="D17" s="53">
        <f t="shared" si="0"/>
        <v>9050102</v>
      </c>
      <c r="E17" s="53">
        <f>Üldharidus!AJ17</f>
        <v>7646994</v>
      </c>
      <c r="F17" s="53">
        <f>Üldharidus!AQ17</f>
        <v>0</v>
      </c>
      <c r="G17" s="53">
        <f>Üldharidus!AR17</f>
        <v>268088</v>
      </c>
      <c r="H17" s="53">
        <f>Üldharidus!AS17</f>
        <v>34968</v>
      </c>
      <c r="I17" s="53">
        <f>Üldharidus!AT17</f>
        <v>166098</v>
      </c>
      <c r="J17" s="53">
        <f>Üldharidus!AU17</f>
        <v>507325</v>
      </c>
      <c r="K17" s="53">
        <f>Üldharidus!AV17</f>
        <v>395604</v>
      </c>
      <c r="L17" s="53">
        <f>Üldharidus!AW17</f>
        <v>31025</v>
      </c>
      <c r="M17" s="53">
        <f>Lasteaed!G17</f>
        <v>168978</v>
      </c>
      <c r="N17" s="53">
        <f>Huvitegevus!U17</f>
        <v>172737</v>
      </c>
      <c r="O17" s="53">
        <f>'Abivajadusega lapsed'!E17</f>
        <v>46896</v>
      </c>
      <c r="P17" s="53">
        <f>Toimetulekutoetus!O17</f>
        <v>548941</v>
      </c>
      <c r="Q17" s="53">
        <f>Matusetoetus!N17</f>
        <v>52194</v>
      </c>
      <c r="R17" s="53">
        <f>Asendushooldus!T17</f>
        <v>152014</v>
      </c>
      <c r="S17" s="53">
        <f>'Pikaajaline hooldus'!E17</f>
        <v>492600</v>
      </c>
      <c r="T17" s="53">
        <f>Rahvastikutoimingud!Y17</f>
        <v>1417</v>
      </c>
      <c r="U17" s="53">
        <f>'Kohalikud teed'!K17</f>
        <v>551128</v>
      </c>
      <c r="V17" s="53">
        <f>Energiatoetus!W17</f>
        <v>164425</v>
      </c>
      <c r="W17" s="53"/>
      <c r="X17" s="54">
        <f t="shared" si="1"/>
        <v>11753768</v>
      </c>
      <c r="Y17" s="53"/>
      <c r="Z17" s="53"/>
      <c r="AA17" s="19"/>
    </row>
    <row r="18" spans="1:27" x14ac:dyDescent="0.25">
      <c r="A18" s="48" t="s">
        <v>69</v>
      </c>
      <c r="B18" s="49" t="s">
        <v>587</v>
      </c>
      <c r="C18" s="53">
        <f>Tasandusfond!AE18</f>
        <v>29042</v>
      </c>
      <c r="D18" s="53">
        <f t="shared" si="0"/>
        <v>139218501</v>
      </c>
      <c r="E18" s="53">
        <f>Üldharidus!AJ18</f>
        <v>94144318</v>
      </c>
      <c r="F18" s="53">
        <f>Üldharidus!AQ18</f>
        <v>21918860</v>
      </c>
      <c r="G18" s="53">
        <f>Üldharidus!AR18</f>
        <v>4485184</v>
      </c>
      <c r="H18" s="53">
        <f>Üldharidus!AS18</f>
        <v>585024</v>
      </c>
      <c r="I18" s="53">
        <f>Üldharidus!AT18</f>
        <v>2767008</v>
      </c>
      <c r="J18" s="53">
        <f>Üldharidus!AU18</f>
        <v>8173025</v>
      </c>
      <c r="K18" s="53">
        <f>Üldharidus!AV18</f>
        <v>6776827</v>
      </c>
      <c r="L18" s="53">
        <f>Üldharidus!AW18</f>
        <v>368255</v>
      </c>
      <c r="M18" s="53">
        <f>Lasteaed!G18</f>
        <v>2275928</v>
      </c>
      <c r="N18" s="53">
        <f>Huvitegevus!U18</f>
        <v>1517753</v>
      </c>
      <c r="O18" s="53">
        <f>'Abivajadusega lapsed'!E18</f>
        <v>752714</v>
      </c>
      <c r="P18" s="53">
        <f>Toimetulekutoetus!O18</f>
        <v>13497874</v>
      </c>
      <c r="Q18" s="53">
        <f>Matusetoetus!N18</f>
        <v>1151645</v>
      </c>
      <c r="R18" s="53">
        <f>Asendushooldus!T18</f>
        <v>4141006</v>
      </c>
      <c r="S18" s="53">
        <f>'Pikaajaline hooldus'!E18</f>
        <v>12059841</v>
      </c>
      <c r="T18" s="53">
        <f>Rahvastikutoimingud!Y18</f>
        <v>602647</v>
      </c>
      <c r="U18" s="53">
        <f>'Kohalikud teed'!K18</f>
        <v>3645720</v>
      </c>
      <c r="V18" s="53">
        <f>Energiatoetus!W18</f>
        <v>4837752</v>
      </c>
      <c r="W18" s="53"/>
      <c r="X18" s="54">
        <f t="shared" si="1"/>
        <v>183730423</v>
      </c>
      <c r="Y18" s="53"/>
      <c r="Z18" s="53"/>
      <c r="AA18" s="19"/>
    </row>
    <row r="19" spans="1:27" x14ac:dyDescent="0.25">
      <c r="A19" s="48" t="s">
        <v>69</v>
      </c>
      <c r="B19" s="49" t="s">
        <v>460</v>
      </c>
      <c r="C19" s="53">
        <f>Tasandusfond!AE19</f>
        <v>126098</v>
      </c>
      <c r="D19" s="53">
        <f t="shared" si="0"/>
        <v>7747569</v>
      </c>
      <c r="E19" s="53">
        <f>Üldharidus!AJ19</f>
        <v>6394853</v>
      </c>
      <c r="F19" s="53">
        <f>Üldharidus!AQ19</f>
        <v>0</v>
      </c>
      <c r="G19" s="53">
        <f>Üldharidus!AR19</f>
        <v>240212</v>
      </c>
      <c r="H19" s="53">
        <f>Üldharidus!AS19</f>
        <v>31332</v>
      </c>
      <c r="I19" s="53">
        <f>Üldharidus!AT19</f>
        <v>148827</v>
      </c>
      <c r="J19" s="53">
        <f>Üldharidus!AU19</f>
        <v>454650</v>
      </c>
      <c r="K19" s="53">
        <f>Üldharidus!AV19</f>
        <v>452628</v>
      </c>
      <c r="L19" s="53">
        <f>Üldharidus!AW19</f>
        <v>25067</v>
      </c>
      <c r="M19" s="53">
        <f>Lasteaed!G19</f>
        <v>179434</v>
      </c>
      <c r="N19" s="53">
        <f>Huvitegevus!U19</f>
        <v>110727</v>
      </c>
      <c r="O19" s="53">
        <f>'Abivajadusega lapsed'!E19</f>
        <v>46101</v>
      </c>
      <c r="P19" s="53">
        <f>Toimetulekutoetus!O19</f>
        <v>221947</v>
      </c>
      <c r="Q19" s="53">
        <f>Matusetoetus!N19</f>
        <v>29725</v>
      </c>
      <c r="R19" s="53">
        <f>Asendushooldus!T19</f>
        <v>36630</v>
      </c>
      <c r="S19" s="53">
        <f>'Pikaajaline hooldus'!E19</f>
        <v>408167</v>
      </c>
      <c r="T19" s="53">
        <f>Rahvastikutoimingud!Y19</f>
        <v>1086</v>
      </c>
      <c r="U19" s="53">
        <f>'Kohalikud teed'!K19</f>
        <v>249663</v>
      </c>
      <c r="V19" s="53">
        <f>Energiatoetus!W19</f>
        <v>215491</v>
      </c>
      <c r="W19" s="53">
        <f>'Üleantud teed'!H8</f>
        <v>27461</v>
      </c>
      <c r="X19" s="54">
        <f t="shared" si="1"/>
        <v>9400099</v>
      </c>
      <c r="Y19" s="53"/>
      <c r="Z19" s="53"/>
      <c r="AA19" s="19"/>
    </row>
    <row r="20" spans="1:27" x14ac:dyDescent="0.25">
      <c r="A20" s="48" t="s">
        <v>67</v>
      </c>
      <c r="B20" s="49" t="s">
        <v>591</v>
      </c>
      <c r="C20" s="53">
        <f>Tasandusfond!AE20</f>
        <v>23286</v>
      </c>
      <c r="D20" s="53">
        <f t="shared" si="0"/>
        <v>3025362</v>
      </c>
      <c r="E20" s="53">
        <f>Üldharidus!AJ20</f>
        <v>2543632</v>
      </c>
      <c r="F20" s="53">
        <f>Üldharidus!AQ20</f>
        <v>0</v>
      </c>
      <c r="G20" s="53">
        <f>Üldharidus!AR20</f>
        <v>118281</v>
      </c>
      <c r="H20" s="53">
        <f>Üldharidus!AS20</f>
        <v>14384</v>
      </c>
      <c r="I20" s="53">
        <f>Üldharidus!AT20</f>
        <v>40983</v>
      </c>
      <c r="J20" s="53">
        <f>Üldharidus!AU20</f>
        <v>125475</v>
      </c>
      <c r="K20" s="53">
        <f>Üldharidus!AV20</f>
        <v>172260</v>
      </c>
      <c r="L20" s="53">
        <f>Üldharidus!AW20</f>
        <v>10347</v>
      </c>
      <c r="M20" s="53">
        <f>Lasteaed!G20</f>
        <v>100520</v>
      </c>
      <c r="N20" s="53">
        <f>Huvitegevus!U20</f>
        <v>103579</v>
      </c>
      <c r="O20" s="53">
        <f>'Abivajadusega lapsed'!E20</f>
        <v>17089</v>
      </c>
      <c r="P20" s="53">
        <f>Toimetulekutoetus!O20</f>
        <v>158101</v>
      </c>
      <c r="Q20" s="53">
        <f>Matusetoetus!N20</f>
        <v>28829</v>
      </c>
      <c r="R20" s="53">
        <f>Asendushooldus!T20</f>
        <v>0</v>
      </c>
      <c r="S20" s="53">
        <f>'Pikaajaline hooldus'!E20</f>
        <v>298434</v>
      </c>
      <c r="T20" s="53">
        <f>Rahvastikutoimingud!Y20</f>
        <v>6017</v>
      </c>
      <c r="U20" s="53">
        <f>'Kohalikud teed'!K20</f>
        <v>403924</v>
      </c>
      <c r="V20" s="53">
        <f>Energiatoetus!W20</f>
        <v>85157</v>
      </c>
      <c r="W20" s="53"/>
      <c r="X20" s="54">
        <f t="shared" si="1"/>
        <v>4250298</v>
      </c>
      <c r="Y20" s="53"/>
      <c r="Z20" s="53"/>
      <c r="AA20" s="19"/>
    </row>
    <row r="21" spans="1:27" x14ac:dyDescent="0.25">
      <c r="A21" s="48" t="s">
        <v>58</v>
      </c>
      <c r="B21" s="49" t="s">
        <v>592</v>
      </c>
      <c r="C21" s="53">
        <f>Tasandusfond!AE21</f>
        <v>479600</v>
      </c>
      <c r="D21" s="53">
        <f t="shared" si="0"/>
        <v>1873855</v>
      </c>
      <c r="E21" s="53">
        <f>Üldharidus!AJ21</f>
        <v>1525351</v>
      </c>
      <c r="F21" s="53">
        <f>Üldharidus!AQ21</f>
        <v>76106</v>
      </c>
      <c r="G21" s="53">
        <f>Üldharidus!AR21</f>
        <v>64422</v>
      </c>
      <c r="H21" s="53">
        <f>Üldharidus!AS21</f>
        <v>7413</v>
      </c>
      <c r="I21" s="53">
        <f>Üldharidus!AT21</f>
        <v>22914</v>
      </c>
      <c r="J21" s="53">
        <f>Üldharidus!AU21</f>
        <v>70350</v>
      </c>
      <c r="K21" s="53">
        <f>Üldharidus!AV21</f>
        <v>100980</v>
      </c>
      <c r="L21" s="53">
        <f>Üldharidus!AW21</f>
        <v>6319</v>
      </c>
      <c r="M21" s="53">
        <f>Lasteaed!G21</f>
        <v>58459</v>
      </c>
      <c r="N21" s="53">
        <f>Huvitegevus!U21</f>
        <v>71540</v>
      </c>
      <c r="O21" s="53">
        <f>'Abivajadusega lapsed'!E21</f>
        <v>8346</v>
      </c>
      <c r="P21" s="53">
        <f>Toimetulekutoetus!O21</f>
        <v>119268</v>
      </c>
      <c r="Q21" s="53">
        <f>Matusetoetus!N21</f>
        <v>17690</v>
      </c>
      <c r="R21" s="53">
        <f>Asendushooldus!T21</f>
        <v>3039</v>
      </c>
      <c r="S21" s="53">
        <f>'Pikaajaline hooldus'!E21</f>
        <v>164412</v>
      </c>
      <c r="T21" s="53">
        <f>Rahvastikutoimingud!Y21</f>
        <v>87</v>
      </c>
      <c r="U21" s="53">
        <f>'Kohalikud teed'!K21</f>
        <v>233267</v>
      </c>
      <c r="V21" s="53">
        <f>Energiatoetus!W21</f>
        <v>66261</v>
      </c>
      <c r="W21" s="53">
        <f>'Üleantud teed'!H4</f>
        <v>22268</v>
      </c>
      <c r="X21" s="54">
        <f t="shared" si="1"/>
        <v>3118092</v>
      </c>
      <c r="Y21" s="53"/>
      <c r="Z21" s="53"/>
      <c r="AA21" s="19"/>
    </row>
    <row r="22" spans="1:27" x14ac:dyDescent="0.25">
      <c r="A22" s="48" t="s">
        <v>58</v>
      </c>
      <c r="B22" s="49" t="s">
        <v>434</v>
      </c>
      <c r="C22" s="53">
        <f>Tasandusfond!AE22</f>
        <v>1162998</v>
      </c>
      <c r="D22" s="53">
        <f t="shared" si="0"/>
        <v>3480853</v>
      </c>
      <c r="E22" s="53">
        <f>Üldharidus!AJ22</f>
        <v>2916851</v>
      </c>
      <c r="F22" s="53">
        <f>Üldharidus!AQ22</f>
        <v>0</v>
      </c>
      <c r="G22" s="53">
        <f>Üldharidus!AR22</f>
        <v>111076</v>
      </c>
      <c r="H22" s="53">
        <f>Üldharidus!AS22</f>
        <v>17529</v>
      </c>
      <c r="I22" s="53">
        <f>Üldharidus!AT22</f>
        <v>63897</v>
      </c>
      <c r="J22" s="53">
        <f>Üldharidus!AU22</f>
        <v>195825</v>
      </c>
      <c r="K22" s="53">
        <f>Üldharidus!AV22</f>
        <v>163944</v>
      </c>
      <c r="L22" s="53">
        <f>Üldharidus!AW22</f>
        <v>11731</v>
      </c>
      <c r="M22" s="53">
        <f>Lasteaed!G22</f>
        <v>201070</v>
      </c>
      <c r="N22" s="53">
        <f>Huvitegevus!U22</f>
        <v>87093</v>
      </c>
      <c r="O22" s="53">
        <f>'Abivajadusega lapsed'!E22</f>
        <v>16692</v>
      </c>
      <c r="P22" s="53">
        <f>Toimetulekutoetus!O22</f>
        <v>441656</v>
      </c>
      <c r="Q22" s="53">
        <f>Matusetoetus!N22</f>
        <v>44314</v>
      </c>
      <c r="R22" s="53">
        <f>Asendushooldus!T22</f>
        <v>78077</v>
      </c>
      <c r="S22" s="53">
        <f>'Pikaajaline hooldus'!E22</f>
        <v>433205</v>
      </c>
      <c r="T22" s="53">
        <f>Rahvastikutoimingud!Y22</f>
        <v>75193</v>
      </c>
      <c r="U22" s="53">
        <f>'Kohalikud teed'!K22</f>
        <v>245343</v>
      </c>
      <c r="V22" s="53">
        <f>Energiatoetus!W22</f>
        <v>7215</v>
      </c>
      <c r="W22" s="53"/>
      <c r="X22" s="54">
        <f t="shared" si="1"/>
        <v>6273709</v>
      </c>
      <c r="Y22" s="53"/>
      <c r="Z22" s="53"/>
      <c r="AA22" s="19"/>
    </row>
    <row r="23" spans="1:27" x14ac:dyDescent="0.25">
      <c r="A23" s="48" t="s">
        <v>58</v>
      </c>
      <c r="B23" s="49" t="s">
        <v>57</v>
      </c>
      <c r="C23" s="53">
        <f>Tasandusfond!AE23</f>
        <v>6418907</v>
      </c>
      <c r="D23" s="53">
        <f t="shared" si="0"/>
        <v>7196210</v>
      </c>
      <c r="E23" s="53">
        <f>Üldharidus!AJ23</f>
        <v>5772852</v>
      </c>
      <c r="F23" s="53">
        <f>Üldharidus!AQ23</f>
        <v>147039</v>
      </c>
      <c r="G23" s="53">
        <f>Üldharidus!AR23</f>
        <v>316860</v>
      </c>
      <c r="H23" s="53">
        <f>Üldharidus!AS23</f>
        <v>43499</v>
      </c>
      <c r="I23" s="53">
        <f>Üldharidus!AT23</f>
        <v>136287</v>
      </c>
      <c r="J23" s="53">
        <f>Üldharidus!AU23</f>
        <v>400925</v>
      </c>
      <c r="K23" s="53">
        <f>Üldharidus!AV23</f>
        <v>356044</v>
      </c>
      <c r="L23" s="53">
        <f>Üldharidus!AW23</f>
        <v>22704</v>
      </c>
      <c r="M23" s="53">
        <f>Lasteaed!G23</f>
        <v>926511</v>
      </c>
      <c r="N23" s="53">
        <f>Huvitegevus!U23</f>
        <v>191349</v>
      </c>
      <c r="O23" s="53">
        <f>'Abivajadusega lapsed'!E23</f>
        <v>71933</v>
      </c>
      <c r="P23" s="53">
        <f>Toimetulekutoetus!O23</f>
        <v>1141375</v>
      </c>
      <c r="Q23" s="53">
        <f>Matusetoetus!N23</f>
        <v>133445</v>
      </c>
      <c r="R23" s="53">
        <f>Asendushooldus!T23</f>
        <v>1204207</v>
      </c>
      <c r="S23" s="53">
        <f>'Pikaajaline hooldus'!E23</f>
        <v>1216304</v>
      </c>
      <c r="T23" s="53">
        <f>Rahvastikutoimingud!Y23</f>
        <v>850</v>
      </c>
      <c r="U23" s="53">
        <f>'Kohalikud teed'!K23</f>
        <v>527336</v>
      </c>
      <c r="V23" s="53">
        <f>Energiatoetus!W23</f>
        <v>110556</v>
      </c>
      <c r="W23" s="53"/>
      <c r="X23" s="54">
        <f t="shared" si="1"/>
        <v>19138983</v>
      </c>
      <c r="Y23" s="53"/>
      <c r="Z23" s="53"/>
      <c r="AA23" s="19"/>
    </row>
    <row r="24" spans="1:27" x14ac:dyDescent="0.25">
      <c r="A24" s="48" t="s">
        <v>58</v>
      </c>
      <c r="B24" s="49" t="s">
        <v>426</v>
      </c>
      <c r="C24" s="53">
        <f>Tasandusfond!AE24</f>
        <v>1497584</v>
      </c>
      <c r="D24" s="53">
        <f t="shared" si="0"/>
        <v>2517210</v>
      </c>
      <c r="E24" s="53">
        <f>Üldharidus!AJ24</f>
        <v>2003383</v>
      </c>
      <c r="F24" s="53">
        <f>Üldharidus!AQ24</f>
        <v>135624</v>
      </c>
      <c r="G24" s="53">
        <f>Üldharidus!AR24</f>
        <v>108628</v>
      </c>
      <c r="H24" s="53">
        <f>Üldharidus!AS24</f>
        <v>13834</v>
      </c>
      <c r="I24" s="53">
        <f>Üldharidus!AT24</f>
        <v>38361</v>
      </c>
      <c r="J24" s="53">
        <f>Üldharidus!AU24</f>
        <v>117600</v>
      </c>
      <c r="K24" s="53">
        <f>Üldharidus!AV24</f>
        <v>91476</v>
      </c>
      <c r="L24" s="53">
        <f>Üldharidus!AW24</f>
        <v>8304</v>
      </c>
      <c r="M24" s="53">
        <f>Lasteaed!G24</f>
        <v>122694</v>
      </c>
      <c r="N24" s="53">
        <f>Huvitegevus!U24</f>
        <v>100516</v>
      </c>
      <c r="O24" s="53">
        <f>'Abivajadusega lapsed'!E24</f>
        <v>15499</v>
      </c>
      <c r="P24" s="53">
        <f>Toimetulekutoetus!O24</f>
        <v>351473</v>
      </c>
      <c r="Q24" s="53">
        <f>Matusetoetus!N24</f>
        <v>36485</v>
      </c>
      <c r="R24" s="53">
        <f>Asendushooldus!T24</f>
        <v>291207</v>
      </c>
      <c r="S24" s="53">
        <f>'Pikaajaline hooldus'!E24</f>
        <v>348884</v>
      </c>
      <c r="T24" s="53">
        <f>Rahvastikutoimingud!Y24</f>
        <v>304</v>
      </c>
      <c r="U24" s="53">
        <f>'Kohalikud teed'!K24</f>
        <v>401746</v>
      </c>
      <c r="V24" s="53">
        <f>Energiatoetus!W24</f>
        <v>54576</v>
      </c>
      <c r="W24" s="53"/>
      <c r="X24" s="54">
        <f t="shared" si="1"/>
        <v>5738178</v>
      </c>
      <c r="Y24" s="53"/>
      <c r="Z24" s="53"/>
      <c r="AA24" s="19"/>
    </row>
    <row r="25" spans="1:27" x14ac:dyDescent="0.25">
      <c r="A25" s="48" t="s">
        <v>58</v>
      </c>
      <c r="B25" s="49" t="s">
        <v>59</v>
      </c>
      <c r="C25" s="53">
        <f>Tasandusfond!AE25</f>
        <v>16132037</v>
      </c>
      <c r="D25" s="53">
        <f t="shared" si="0"/>
        <v>14423291</v>
      </c>
      <c r="E25" s="53">
        <f>Üldharidus!AJ25</f>
        <v>9688070</v>
      </c>
      <c r="F25" s="53">
        <f>Üldharidus!AQ25</f>
        <v>2370275</v>
      </c>
      <c r="G25" s="53">
        <f>Üldharidus!AR25</f>
        <v>489440</v>
      </c>
      <c r="H25" s="53">
        <f>Üldharidus!AS25</f>
        <v>70301</v>
      </c>
      <c r="I25" s="53">
        <f>Üldharidus!AT25</f>
        <v>287873</v>
      </c>
      <c r="J25" s="53">
        <f>Üldharidus!AU25</f>
        <v>802375</v>
      </c>
      <c r="K25" s="53">
        <f>Üldharidus!AV25</f>
        <v>677160</v>
      </c>
      <c r="L25" s="53">
        <f>Üldharidus!AW25</f>
        <v>37797</v>
      </c>
      <c r="M25" s="53">
        <f>Lasteaed!G25</f>
        <v>1078510</v>
      </c>
      <c r="N25" s="53">
        <f>Huvitegevus!U25</f>
        <v>133549</v>
      </c>
      <c r="O25" s="53">
        <f>'Abivajadusega lapsed'!E25</f>
        <v>113662</v>
      </c>
      <c r="P25" s="53">
        <f>Toimetulekutoetus!O25</f>
        <v>951063</v>
      </c>
      <c r="Q25" s="53">
        <f>Matusetoetus!N25</f>
        <v>217880</v>
      </c>
      <c r="R25" s="53">
        <f>Asendushooldus!T25</f>
        <v>1141936</v>
      </c>
      <c r="S25" s="53">
        <f>'Pikaajaline hooldus'!E25</f>
        <v>1951966</v>
      </c>
      <c r="T25" s="53">
        <f>Rahvastikutoimingud!Y25</f>
        <v>108062</v>
      </c>
      <c r="U25" s="53">
        <f>'Kohalikud teed'!K25</f>
        <v>427313</v>
      </c>
      <c r="V25" s="53">
        <f>Energiatoetus!W25</f>
        <v>80221</v>
      </c>
      <c r="W25" s="53"/>
      <c r="X25" s="54">
        <f t="shared" si="1"/>
        <v>36759490</v>
      </c>
      <c r="Y25" s="53"/>
      <c r="Z25" s="53"/>
      <c r="AA25" s="19"/>
    </row>
    <row r="26" spans="1:27" x14ac:dyDescent="0.25">
      <c r="A26" s="48" t="s">
        <v>58</v>
      </c>
      <c r="B26" s="49" t="s">
        <v>62</v>
      </c>
      <c r="C26" s="53">
        <f>Tasandusfond!AE26</f>
        <v>1277687</v>
      </c>
      <c r="D26" s="53">
        <f t="shared" si="0"/>
        <v>1121054</v>
      </c>
      <c r="E26" s="53">
        <f>Üldharidus!AJ26</f>
        <v>972775</v>
      </c>
      <c r="F26" s="53">
        <f>Üldharidus!AQ26</f>
        <v>0</v>
      </c>
      <c r="G26" s="53">
        <f>Üldharidus!AR26</f>
        <v>41172</v>
      </c>
      <c r="H26" s="53">
        <f>Üldharidus!AS26</f>
        <v>3933</v>
      </c>
      <c r="I26" s="53">
        <f>Üldharidus!AT26</f>
        <v>12711</v>
      </c>
      <c r="J26" s="53">
        <f>Üldharidus!AU26</f>
        <v>38850</v>
      </c>
      <c r="K26" s="53">
        <f>Üldharidus!AV26</f>
        <v>47520</v>
      </c>
      <c r="L26" s="53">
        <f>Üldharidus!AW26</f>
        <v>4093</v>
      </c>
      <c r="M26" s="53">
        <f>Lasteaed!G26</f>
        <v>51672</v>
      </c>
      <c r="N26" s="53">
        <f>Huvitegevus!U26</f>
        <v>63186</v>
      </c>
      <c r="O26" s="53">
        <f>'Abivajadusega lapsed'!E26</f>
        <v>4372</v>
      </c>
      <c r="P26" s="53">
        <f>Toimetulekutoetus!O26</f>
        <v>164850</v>
      </c>
      <c r="Q26" s="53">
        <f>Matusetoetus!N26</f>
        <v>19490</v>
      </c>
      <c r="R26" s="53">
        <f>Asendushooldus!T26</f>
        <v>87911</v>
      </c>
      <c r="S26" s="53">
        <f>'Pikaajaline hooldus'!E26</f>
        <v>171822</v>
      </c>
      <c r="T26" s="53">
        <f>Rahvastikutoimingud!Y26</f>
        <v>137</v>
      </c>
      <c r="U26" s="53">
        <f>'Kohalikud teed'!K26</f>
        <v>254897</v>
      </c>
      <c r="V26" s="53">
        <f>Energiatoetus!W26</f>
        <v>47272</v>
      </c>
      <c r="W26" s="53"/>
      <c r="X26" s="54">
        <f t="shared" si="1"/>
        <v>3264350</v>
      </c>
      <c r="Y26" s="53"/>
      <c r="Z26" s="53"/>
      <c r="AA26" s="19"/>
    </row>
    <row r="27" spans="1:27" x14ac:dyDescent="0.25">
      <c r="A27" s="48" t="s">
        <v>58</v>
      </c>
      <c r="B27" s="49" t="s">
        <v>61</v>
      </c>
      <c r="C27" s="53">
        <f>Tasandusfond!AE27</f>
        <v>2379250</v>
      </c>
      <c r="D27" s="53">
        <f t="shared" si="0"/>
        <v>3793915</v>
      </c>
      <c r="E27" s="53">
        <f>Üldharidus!AJ27</f>
        <v>2431432</v>
      </c>
      <c r="F27" s="53">
        <f>Üldharidus!AQ27</f>
        <v>764834</v>
      </c>
      <c r="G27" s="53">
        <f>Üldharidus!AR27</f>
        <v>120227</v>
      </c>
      <c r="H27" s="53">
        <f>Üldharidus!AS27</f>
        <v>17342</v>
      </c>
      <c r="I27" s="53">
        <f>Üldharidus!AT27</f>
        <v>68400</v>
      </c>
      <c r="J27" s="53">
        <f>Üldharidus!AU27</f>
        <v>207025</v>
      </c>
      <c r="K27" s="53">
        <f>Üldharidus!AV27</f>
        <v>175111</v>
      </c>
      <c r="L27" s="53">
        <f>Üldharidus!AW27</f>
        <v>9544</v>
      </c>
      <c r="M27" s="53">
        <f>Lasteaed!G27</f>
        <v>226618</v>
      </c>
      <c r="N27" s="53">
        <f>Huvitegevus!U27</f>
        <v>42277</v>
      </c>
      <c r="O27" s="53">
        <f>'Abivajadusega lapsed'!E27</f>
        <v>19474</v>
      </c>
      <c r="P27" s="53">
        <f>Toimetulekutoetus!O27</f>
        <v>355693</v>
      </c>
      <c r="Q27" s="53">
        <f>Matusetoetus!N27</f>
        <v>53005</v>
      </c>
      <c r="R27" s="53">
        <f>Asendushooldus!T27</f>
        <v>355310</v>
      </c>
      <c r="S27" s="53">
        <f>'Pikaajaline hooldus'!E27</f>
        <v>494471</v>
      </c>
      <c r="T27" s="53">
        <f>Rahvastikutoimingud!Y27</f>
        <v>485</v>
      </c>
      <c r="U27" s="53">
        <f>'Kohalikud teed'!K27</f>
        <v>76855</v>
      </c>
      <c r="V27" s="53">
        <f>Energiatoetus!W27</f>
        <v>35121</v>
      </c>
      <c r="W27" s="53"/>
      <c r="X27" s="54">
        <f t="shared" si="1"/>
        <v>7832474</v>
      </c>
      <c r="Y27" s="53"/>
      <c r="Z27" s="53"/>
      <c r="AA27" s="19"/>
    </row>
    <row r="28" spans="1:27" x14ac:dyDescent="0.25">
      <c r="A28" s="48" t="s">
        <v>58</v>
      </c>
      <c r="B28" s="49" t="s">
        <v>64</v>
      </c>
      <c r="C28" s="53">
        <f>Tasandusfond!AE28</f>
        <v>250648</v>
      </c>
      <c r="D28" s="53">
        <f t="shared" si="0"/>
        <v>1404181</v>
      </c>
      <c r="E28" s="53">
        <f>Üldharidus!AJ28</f>
        <v>1084207</v>
      </c>
      <c r="F28" s="53">
        <f>Üldharidus!AQ28</f>
        <v>144290</v>
      </c>
      <c r="G28" s="53">
        <f>Üldharidus!AR28</f>
        <v>51267</v>
      </c>
      <c r="H28" s="53">
        <f>Üldharidus!AS28</f>
        <v>4995</v>
      </c>
      <c r="I28" s="53">
        <f>Üldharidus!AT28</f>
        <v>22116</v>
      </c>
      <c r="J28" s="53">
        <f>Üldharidus!AU28</f>
        <v>67725</v>
      </c>
      <c r="K28" s="53">
        <f>Üldharidus!AV28</f>
        <v>24948</v>
      </c>
      <c r="L28" s="53">
        <f>Üldharidus!AW28</f>
        <v>4633</v>
      </c>
      <c r="M28" s="53">
        <f>Lasteaed!G28</f>
        <v>77355</v>
      </c>
      <c r="N28" s="53">
        <f>Huvitegevus!U28</f>
        <v>70008</v>
      </c>
      <c r="O28" s="53">
        <f>'Abivajadusega lapsed'!E28</f>
        <v>4769</v>
      </c>
      <c r="P28" s="53">
        <f>Toimetulekutoetus!O28</f>
        <v>82392</v>
      </c>
      <c r="Q28" s="53">
        <f>Matusetoetus!N28</f>
        <v>15071</v>
      </c>
      <c r="R28" s="53">
        <f>Asendushooldus!T28</f>
        <v>32687</v>
      </c>
      <c r="S28" s="53">
        <f>'Pikaajaline hooldus'!E28</f>
        <v>149685</v>
      </c>
      <c r="T28" s="53">
        <f>Rahvastikutoimingud!Y28</f>
        <v>101</v>
      </c>
      <c r="U28" s="53">
        <f>'Kohalikud teed'!K28</f>
        <v>182625</v>
      </c>
      <c r="V28" s="53">
        <f>Energiatoetus!W28</f>
        <v>20166</v>
      </c>
      <c r="W28" s="53"/>
      <c r="X28" s="54">
        <f t="shared" si="1"/>
        <v>2289688</v>
      </c>
      <c r="Y28" s="53"/>
      <c r="Z28" s="53"/>
      <c r="AA28" s="19"/>
    </row>
    <row r="29" spans="1:27" x14ac:dyDescent="0.25">
      <c r="A29" s="48" t="s">
        <v>55</v>
      </c>
      <c r="B29" s="49" t="s">
        <v>409</v>
      </c>
      <c r="C29" s="53">
        <f>Tasandusfond!AE29</f>
        <v>1764373</v>
      </c>
      <c r="D29" s="53">
        <f t="shared" si="0"/>
        <v>4203161</v>
      </c>
      <c r="E29" s="53">
        <f>Üldharidus!AJ29</f>
        <v>3580247</v>
      </c>
      <c r="F29" s="53">
        <f>Üldharidus!AQ29</f>
        <v>9820</v>
      </c>
      <c r="G29" s="53">
        <f>Üldharidus!AR29</f>
        <v>160045</v>
      </c>
      <c r="H29" s="53">
        <f>Üldharidus!AS29</f>
        <v>21885</v>
      </c>
      <c r="I29" s="53">
        <f>Üldharidus!AT29</f>
        <v>70908</v>
      </c>
      <c r="J29" s="53">
        <f>Üldharidus!AU29</f>
        <v>217000</v>
      </c>
      <c r="K29" s="53">
        <f>Üldharidus!AV29</f>
        <v>128304</v>
      </c>
      <c r="L29" s="53">
        <f>Üldharidus!AW29</f>
        <v>14952</v>
      </c>
      <c r="M29" s="53">
        <f>Lasteaed!G29</f>
        <v>177292</v>
      </c>
      <c r="N29" s="53">
        <f>Huvitegevus!U29</f>
        <v>147360</v>
      </c>
      <c r="O29" s="53">
        <f>'Abivajadusega lapsed'!E29</f>
        <v>26627</v>
      </c>
      <c r="P29" s="53">
        <f>Toimetulekutoetus!O29</f>
        <v>124546</v>
      </c>
      <c r="Q29" s="53">
        <f>Matusetoetus!N29</f>
        <v>50275</v>
      </c>
      <c r="R29" s="53">
        <f>Asendushooldus!T29</f>
        <v>212453</v>
      </c>
      <c r="S29" s="53">
        <f>'Pikaajaline hooldus'!E29</f>
        <v>444096</v>
      </c>
      <c r="T29" s="53">
        <f>Rahvastikutoimingud!Y29</f>
        <v>17226</v>
      </c>
      <c r="U29" s="53">
        <f>'Kohalikud teed'!K29</f>
        <v>414266</v>
      </c>
      <c r="V29" s="53">
        <f>Energiatoetus!W29</f>
        <v>162610</v>
      </c>
      <c r="W29" s="53"/>
      <c r="X29" s="54">
        <f t="shared" si="1"/>
        <v>7744285</v>
      </c>
      <c r="Y29" s="53"/>
      <c r="Z29" s="53"/>
      <c r="AA29" s="19"/>
    </row>
    <row r="30" spans="1:27" x14ac:dyDescent="0.25">
      <c r="A30" s="48" t="s">
        <v>55</v>
      </c>
      <c r="B30" s="49" t="s">
        <v>593</v>
      </c>
      <c r="C30" s="53">
        <f>Tasandusfond!AE30</f>
        <v>1125134</v>
      </c>
      <c r="D30" s="53">
        <f t="shared" si="0"/>
        <v>2038735</v>
      </c>
      <c r="E30" s="53">
        <f>Üldharidus!AJ30</f>
        <v>1576592</v>
      </c>
      <c r="F30" s="53">
        <f>Üldharidus!AQ30</f>
        <v>178998</v>
      </c>
      <c r="G30" s="53">
        <f>Üldharidus!AR30</f>
        <v>106506</v>
      </c>
      <c r="H30" s="53">
        <f>Üldharidus!AS30</f>
        <v>11468</v>
      </c>
      <c r="I30" s="53">
        <f>Üldharidus!AT30</f>
        <v>25878</v>
      </c>
      <c r="J30" s="53">
        <f>Üldharidus!AU30</f>
        <v>79450</v>
      </c>
      <c r="K30" s="53">
        <f>Üldharidus!AV30</f>
        <v>53104</v>
      </c>
      <c r="L30" s="53">
        <f>Üldharidus!AW30</f>
        <v>6739</v>
      </c>
      <c r="M30" s="53">
        <f>Lasteaed!G30</f>
        <v>86097</v>
      </c>
      <c r="N30" s="53">
        <f>Huvitegevus!U30</f>
        <v>81020</v>
      </c>
      <c r="O30" s="53">
        <f>'Abivajadusega lapsed'!E30</f>
        <v>9141</v>
      </c>
      <c r="P30" s="53">
        <f>Toimetulekutoetus!O30</f>
        <v>111702</v>
      </c>
      <c r="Q30" s="53">
        <f>Matusetoetus!N30</f>
        <v>21987</v>
      </c>
      <c r="R30" s="53">
        <f>Asendushooldus!T30</f>
        <v>40293</v>
      </c>
      <c r="S30" s="53">
        <f>'Pikaajaline hooldus'!E30</f>
        <v>213122</v>
      </c>
      <c r="T30" s="53">
        <f>Rahvastikutoimingud!Y30</f>
        <v>245</v>
      </c>
      <c r="U30" s="53">
        <f>'Kohalikud teed'!K30</f>
        <v>269305</v>
      </c>
      <c r="V30" s="53">
        <f>Energiatoetus!W30</f>
        <v>22567</v>
      </c>
      <c r="W30" s="53"/>
      <c r="X30" s="54">
        <f t="shared" si="1"/>
        <v>4019348</v>
      </c>
      <c r="Y30" s="53"/>
      <c r="Z30" s="53"/>
      <c r="AA30" s="19"/>
    </row>
    <row r="31" spans="1:27" x14ac:dyDescent="0.25">
      <c r="A31" s="48" t="s">
        <v>55</v>
      </c>
      <c r="B31" s="49" t="s">
        <v>397</v>
      </c>
      <c r="C31" s="53">
        <f>Tasandusfond!AE31</f>
        <v>1486038</v>
      </c>
      <c r="D31" s="53">
        <f t="shared" si="0"/>
        <v>3688335</v>
      </c>
      <c r="E31" s="53">
        <f>Üldharidus!AJ31</f>
        <v>2781558</v>
      </c>
      <c r="F31" s="53">
        <f>Üldharidus!AQ31</f>
        <v>334514</v>
      </c>
      <c r="G31" s="53">
        <f>Üldharidus!AR31</f>
        <v>132555</v>
      </c>
      <c r="H31" s="53">
        <f>Üldharidus!AS31</f>
        <v>17988</v>
      </c>
      <c r="I31" s="53">
        <f>Üldharidus!AT31</f>
        <v>54777</v>
      </c>
      <c r="J31" s="53">
        <f>Üldharidus!AU31</f>
        <v>168000</v>
      </c>
      <c r="K31" s="53">
        <f>Üldharidus!AV31</f>
        <v>187704</v>
      </c>
      <c r="L31" s="53">
        <f>Üldharidus!AW31</f>
        <v>11239</v>
      </c>
      <c r="M31" s="53">
        <f>Lasteaed!G31</f>
        <v>131541</v>
      </c>
      <c r="N31" s="53">
        <f>Huvitegevus!U31</f>
        <v>110401</v>
      </c>
      <c r="O31" s="53">
        <f>'Abivajadusega lapsed'!E31</f>
        <v>19474</v>
      </c>
      <c r="P31" s="53">
        <f>Toimetulekutoetus!O31</f>
        <v>90089</v>
      </c>
      <c r="Q31" s="53">
        <f>Matusetoetus!N31</f>
        <v>33996</v>
      </c>
      <c r="R31" s="53">
        <f>Asendushooldus!T31</f>
        <v>325090</v>
      </c>
      <c r="S31" s="53">
        <f>'Pikaajaline hooldus'!E31</f>
        <v>362863</v>
      </c>
      <c r="T31" s="53">
        <f>Rahvastikutoimingud!Y31</f>
        <v>393</v>
      </c>
      <c r="U31" s="53">
        <f>'Kohalikud teed'!K31</f>
        <v>266399</v>
      </c>
      <c r="V31" s="53">
        <f>Energiatoetus!W31</f>
        <v>102184</v>
      </c>
      <c r="W31" s="53"/>
      <c r="X31" s="54">
        <f t="shared" si="1"/>
        <v>6616803</v>
      </c>
      <c r="Y31" s="53"/>
      <c r="Z31" s="53"/>
      <c r="AA31" s="19"/>
    </row>
    <row r="32" spans="1:27" x14ac:dyDescent="0.25">
      <c r="A32" s="48" t="s">
        <v>52</v>
      </c>
      <c r="B32" s="49" t="s">
        <v>594</v>
      </c>
      <c r="C32" s="53">
        <f>Tasandusfond!AE32</f>
        <v>1771038</v>
      </c>
      <c r="D32" s="53">
        <f t="shared" si="0"/>
        <v>4234510</v>
      </c>
      <c r="E32" s="53">
        <f>Üldharidus!AJ32</f>
        <v>3327123</v>
      </c>
      <c r="F32" s="53">
        <f>Üldharidus!AQ32</f>
        <v>284754</v>
      </c>
      <c r="G32" s="53">
        <f>Üldharidus!AR32</f>
        <v>157539</v>
      </c>
      <c r="H32" s="53">
        <f>Üldharidus!AS32</f>
        <v>17655</v>
      </c>
      <c r="I32" s="53">
        <f>Üldharidus!AT32</f>
        <v>58995</v>
      </c>
      <c r="J32" s="53">
        <f>Üldharidus!AU32</f>
        <v>176400</v>
      </c>
      <c r="K32" s="53">
        <f>Üldharidus!AV32</f>
        <v>198396</v>
      </c>
      <c r="L32" s="53">
        <f>Üldharidus!AW32</f>
        <v>13648</v>
      </c>
      <c r="M32" s="53">
        <f>Lasteaed!G32</f>
        <v>159578</v>
      </c>
      <c r="N32" s="53">
        <f>Huvitegevus!U32</f>
        <v>153631</v>
      </c>
      <c r="O32" s="53">
        <f>'Abivajadusega lapsed'!E32</f>
        <v>25435</v>
      </c>
      <c r="P32" s="53">
        <f>Toimetulekutoetus!O32</f>
        <v>139730</v>
      </c>
      <c r="Q32" s="53">
        <f>Matusetoetus!N32</f>
        <v>31587</v>
      </c>
      <c r="R32" s="53">
        <f>Asendushooldus!T32</f>
        <v>130952</v>
      </c>
      <c r="S32" s="53">
        <f>'Pikaajaline hooldus'!E32</f>
        <v>278542</v>
      </c>
      <c r="T32" s="53">
        <f>Rahvastikutoimingud!Y32</f>
        <v>651</v>
      </c>
      <c r="U32" s="53">
        <f>'Kohalikud teed'!K32</f>
        <v>502927</v>
      </c>
      <c r="V32" s="53">
        <f>Energiatoetus!W32</f>
        <v>65708</v>
      </c>
      <c r="W32" s="53"/>
      <c r="X32" s="54">
        <f t="shared" si="1"/>
        <v>7494289</v>
      </c>
      <c r="Y32" s="53"/>
      <c r="Z32" s="53"/>
      <c r="AA32" s="19"/>
    </row>
    <row r="33" spans="1:27" x14ac:dyDescent="0.25">
      <c r="A33" s="48" t="s">
        <v>52</v>
      </c>
      <c r="B33" s="49" t="s">
        <v>51</v>
      </c>
      <c r="C33" s="53">
        <f>Tasandusfond!AE33</f>
        <v>207585</v>
      </c>
      <c r="D33" s="53">
        <f t="shared" si="0"/>
        <v>3293626</v>
      </c>
      <c r="E33" s="53">
        <f>Üldharidus!AJ33</f>
        <v>2702464</v>
      </c>
      <c r="F33" s="53">
        <f>Üldharidus!AQ33</f>
        <v>0</v>
      </c>
      <c r="G33" s="53">
        <f>Üldharidus!AR33</f>
        <v>126262</v>
      </c>
      <c r="H33" s="53">
        <f>Üldharidus!AS33</f>
        <v>17136</v>
      </c>
      <c r="I33" s="53">
        <f>Üldharidus!AT33</f>
        <v>56145</v>
      </c>
      <c r="J33" s="53">
        <f>Üldharidus!AU33</f>
        <v>172025</v>
      </c>
      <c r="K33" s="53">
        <f>Üldharidus!AV33</f>
        <v>209088</v>
      </c>
      <c r="L33" s="53">
        <f>Üldharidus!AW33</f>
        <v>10506</v>
      </c>
      <c r="M33" s="53">
        <f>Lasteaed!G33</f>
        <v>161430</v>
      </c>
      <c r="N33" s="53">
        <f>Huvitegevus!U33</f>
        <v>103054</v>
      </c>
      <c r="O33" s="53">
        <f>'Abivajadusega lapsed'!E33</f>
        <v>29012</v>
      </c>
      <c r="P33" s="53">
        <f>Toimetulekutoetus!O33</f>
        <v>194702</v>
      </c>
      <c r="Q33" s="53">
        <f>Matusetoetus!N33</f>
        <v>39036</v>
      </c>
      <c r="R33" s="53">
        <f>Asendushooldus!T33</f>
        <v>0</v>
      </c>
      <c r="S33" s="53">
        <f>'Pikaajaline hooldus'!E33</f>
        <v>348547</v>
      </c>
      <c r="T33" s="53">
        <f>Rahvastikutoimingud!Y33</f>
        <v>14002</v>
      </c>
      <c r="U33" s="53">
        <f>'Kohalikud teed'!K33</f>
        <v>297702</v>
      </c>
      <c r="V33" s="53">
        <f>Energiatoetus!W33</f>
        <v>69290</v>
      </c>
      <c r="W33" s="53"/>
      <c r="X33" s="54">
        <f t="shared" si="1"/>
        <v>4757986</v>
      </c>
      <c r="Y33" s="53"/>
      <c r="Z33" s="53"/>
      <c r="AA33" s="19"/>
    </row>
    <row r="34" spans="1:27" x14ac:dyDescent="0.25">
      <c r="A34" s="48" t="s">
        <v>52</v>
      </c>
      <c r="B34" s="49" t="s">
        <v>370</v>
      </c>
      <c r="C34" s="53">
        <f>Tasandusfond!AE34</f>
        <v>1069809</v>
      </c>
      <c r="D34" s="53">
        <f t="shared" si="0"/>
        <v>4172451</v>
      </c>
      <c r="E34" s="53">
        <f>Üldharidus!AJ34</f>
        <v>3219719</v>
      </c>
      <c r="F34" s="53">
        <f>Üldharidus!AQ34</f>
        <v>324109</v>
      </c>
      <c r="G34" s="53">
        <f>Üldharidus!AR34</f>
        <v>145446</v>
      </c>
      <c r="H34" s="53">
        <f>Üldharidus!AS34</f>
        <v>18574</v>
      </c>
      <c r="I34" s="53">
        <f>Üldharidus!AT34</f>
        <v>60853</v>
      </c>
      <c r="J34" s="53">
        <f>Üldharidus!AU34</f>
        <v>183925</v>
      </c>
      <c r="K34" s="53">
        <f>Üldharidus!AV34</f>
        <v>206712</v>
      </c>
      <c r="L34" s="53">
        <f>Üldharidus!AW34</f>
        <v>13113</v>
      </c>
      <c r="M34" s="53">
        <f>Lasteaed!G34</f>
        <v>128445</v>
      </c>
      <c r="N34" s="53">
        <f>Huvitegevus!U34</f>
        <v>127897</v>
      </c>
      <c r="O34" s="53">
        <f>'Abivajadusega lapsed'!E34</f>
        <v>25037</v>
      </c>
      <c r="P34" s="53">
        <f>Toimetulekutoetus!O34</f>
        <v>271447</v>
      </c>
      <c r="Q34" s="53">
        <f>Matusetoetus!N34</f>
        <v>41725</v>
      </c>
      <c r="R34" s="53">
        <f>Asendushooldus!T34</f>
        <v>417580</v>
      </c>
      <c r="S34" s="53">
        <f>'Pikaajaline hooldus'!E34</f>
        <v>376991</v>
      </c>
      <c r="T34" s="53">
        <f>Rahvastikutoimingud!Y34</f>
        <v>714</v>
      </c>
      <c r="U34" s="53">
        <f>'Kohalikud teed'!K34</f>
        <v>428051</v>
      </c>
      <c r="V34" s="53">
        <f>Energiatoetus!W34</f>
        <v>44125</v>
      </c>
      <c r="W34" s="53"/>
      <c r="X34" s="54">
        <f t="shared" si="1"/>
        <v>7104272</v>
      </c>
      <c r="Y34" s="53"/>
      <c r="Z34" s="53"/>
      <c r="AA34" s="19"/>
    </row>
    <row r="35" spans="1:27" x14ac:dyDescent="0.25">
      <c r="A35" s="48" t="s">
        <v>47</v>
      </c>
      <c r="B35" s="49" t="s">
        <v>48</v>
      </c>
      <c r="C35" s="53">
        <f>Tasandusfond!AE35</f>
        <v>1336630</v>
      </c>
      <c r="D35" s="53">
        <f t="shared" si="0"/>
        <v>4098548</v>
      </c>
      <c r="E35" s="53">
        <f>Üldharidus!AJ35</f>
        <v>3480501</v>
      </c>
      <c r="F35" s="53">
        <f>Üldharidus!AQ35</f>
        <v>0</v>
      </c>
      <c r="G35" s="53">
        <f>Üldharidus!AR35</f>
        <v>139738</v>
      </c>
      <c r="H35" s="53">
        <f>Üldharidus!AS35</f>
        <v>17001</v>
      </c>
      <c r="I35" s="53">
        <f>Üldharidus!AT35</f>
        <v>73644</v>
      </c>
      <c r="J35" s="53">
        <f>Üldharidus!AU35</f>
        <v>226100</v>
      </c>
      <c r="K35" s="53">
        <f>Üldharidus!AV35</f>
        <v>147312</v>
      </c>
      <c r="L35" s="53">
        <f>Üldharidus!AW35</f>
        <v>14252</v>
      </c>
      <c r="M35" s="53">
        <f>Lasteaed!G35</f>
        <v>148658</v>
      </c>
      <c r="N35" s="53">
        <f>Huvitegevus!U35</f>
        <v>187088</v>
      </c>
      <c r="O35" s="53">
        <f>'Abivajadusega lapsed'!E35</f>
        <v>27819</v>
      </c>
      <c r="P35" s="53">
        <f>Toimetulekutoetus!O35</f>
        <v>655073</v>
      </c>
      <c r="Q35" s="53">
        <f>Matusetoetus!N35</f>
        <v>44449</v>
      </c>
      <c r="R35" s="53">
        <f>Asendushooldus!T35</f>
        <v>39177</v>
      </c>
      <c r="S35" s="53">
        <f>'Pikaajaline hooldus'!E35</f>
        <v>473943</v>
      </c>
      <c r="T35" s="53">
        <f>Rahvastikutoimingud!Y35</f>
        <v>33330</v>
      </c>
      <c r="U35" s="53">
        <f>'Kohalikud teed'!K35</f>
        <v>381084</v>
      </c>
      <c r="V35" s="53">
        <f>Energiatoetus!W35</f>
        <v>45035</v>
      </c>
      <c r="W35" s="53"/>
      <c r="X35" s="54">
        <f t="shared" si="1"/>
        <v>7470834</v>
      </c>
      <c r="Y35" s="53"/>
      <c r="Z35" s="53"/>
      <c r="AA35" s="19"/>
    </row>
    <row r="36" spans="1:27" x14ac:dyDescent="0.25">
      <c r="A36" s="48" t="s">
        <v>47</v>
      </c>
      <c r="B36" s="49" t="s">
        <v>353</v>
      </c>
      <c r="C36" s="53">
        <f>Tasandusfond!AE36</f>
        <v>1271756</v>
      </c>
      <c r="D36" s="53">
        <f t="shared" si="0"/>
        <v>3236121</v>
      </c>
      <c r="E36" s="53">
        <f>Üldharidus!AJ36</f>
        <v>2779800</v>
      </c>
      <c r="F36" s="53">
        <f>Üldharidus!AQ36</f>
        <v>73651</v>
      </c>
      <c r="G36" s="53">
        <f>Üldharidus!AR36</f>
        <v>122691</v>
      </c>
      <c r="H36" s="53">
        <f>Üldharidus!AS36</f>
        <v>13732</v>
      </c>
      <c r="I36" s="53">
        <f>Üldharidus!AT36</f>
        <v>43377</v>
      </c>
      <c r="J36" s="53">
        <f>Üldharidus!AU36</f>
        <v>132650</v>
      </c>
      <c r="K36" s="53">
        <f>Üldharidus!AV36</f>
        <v>58212</v>
      </c>
      <c r="L36" s="53">
        <f>Üldharidus!AW36</f>
        <v>12008</v>
      </c>
      <c r="M36" s="53">
        <f>Lasteaed!G36</f>
        <v>67180</v>
      </c>
      <c r="N36" s="53">
        <f>Huvitegevus!U36</f>
        <v>120514</v>
      </c>
      <c r="O36" s="53">
        <f>'Abivajadusega lapsed'!E36</f>
        <v>12320</v>
      </c>
      <c r="P36" s="53">
        <f>Toimetulekutoetus!O36</f>
        <v>197370</v>
      </c>
      <c r="Q36" s="53">
        <f>Matusetoetus!N36</f>
        <v>24594</v>
      </c>
      <c r="R36" s="53">
        <f>Asendushooldus!T36</f>
        <v>151098</v>
      </c>
      <c r="S36" s="53">
        <f>'Pikaajaline hooldus'!E36</f>
        <v>217894</v>
      </c>
      <c r="T36" s="53">
        <f>Rahvastikutoimingud!Y36</f>
        <v>382</v>
      </c>
      <c r="U36" s="53">
        <f>'Kohalikud teed'!K36</f>
        <v>499228</v>
      </c>
      <c r="V36" s="53">
        <f>Energiatoetus!W36</f>
        <v>48516</v>
      </c>
      <c r="W36" s="53"/>
      <c r="X36" s="54">
        <f t="shared" si="1"/>
        <v>5846973</v>
      </c>
      <c r="Y36" s="53"/>
      <c r="Z36" s="53"/>
      <c r="AA36" s="19"/>
    </row>
    <row r="37" spans="1:27" x14ac:dyDescent="0.25">
      <c r="A37" s="48" t="s">
        <v>47</v>
      </c>
      <c r="B37" s="49" t="s">
        <v>349</v>
      </c>
      <c r="C37" s="53">
        <f>Tasandusfond!AE37</f>
        <v>125547</v>
      </c>
      <c r="D37" s="53">
        <f t="shared" si="0"/>
        <v>227289</v>
      </c>
      <c r="E37" s="53">
        <f>Üldharidus!AJ37</f>
        <v>213740</v>
      </c>
      <c r="F37" s="53">
        <f>Üldharidus!AQ37</f>
        <v>0</v>
      </c>
      <c r="G37" s="53">
        <f>Üldharidus!AR37</f>
        <v>6621</v>
      </c>
      <c r="H37" s="53">
        <f>Üldharidus!AS37</f>
        <v>984</v>
      </c>
      <c r="I37" s="53">
        <f>Üldharidus!AT37</f>
        <v>1197</v>
      </c>
      <c r="J37" s="53">
        <f>Üldharidus!AU37</f>
        <v>3150</v>
      </c>
      <c r="K37" s="53">
        <f>Üldharidus!AV37</f>
        <v>1188</v>
      </c>
      <c r="L37" s="53">
        <f>Üldharidus!AW37</f>
        <v>409</v>
      </c>
      <c r="M37" s="53">
        <f>Lasteaed!G37</f>
        <v>844</v>
      </c>
      <c r="N37" s="53">
        <f>Huvitegevus!U37</f>
        <v>2336</v>
      </c>
      <c r="O37" s="53">
        <f>'Abivajadusega lapsed'!E37</f>
        <v>397</v>
      </c>
      <c r="P37" s="53">
        <f>Toimetulekutoetus!O37</f>
        <v>1903</v>
      </c>
      <c r="Q37" s="53">
        <f>Matusetoetus!N37</f>
        <v>1257</v>
      </c>
      <c r="R37" s="53">
        <f>Asendushooldus!T37</f>
        <v>0</v>
      </c>
      <c r="S37" s="53">
        <f>'Pikaajaline hooldus'!E37</f>
        <v>12388</v>
      </c>
      <c r="T37" s="53">
        <f>Rahvastikutoimingud!Y37</f>
        <v>4</v>
      </c>
      <c r="U37" s="53">
        <f>'Kohalikud teed'!K37</f>
        <v>25725</v>
      </c>
      <c r="V37" s="53">
        <f>Energiatoetus!W37</f>
        <v>0</v>
      </c>
      <c r="W37" s="53"/>
      <c r="X37" s="54">
        <f t="shared" si="1"/>
        <v>397690</v>
      </c>
      <c r="Y37" s="53"/>
      <c r="Z37" s="53"/>
      <c r="AA37" s="19"/>
    </row>
    <row r="38" spans="1:27" x14ac:dyDescent="0.25">
      <c r="A38" s="48" t="s">
        <v>38</v>
      </c>
      <c r="B38" s="49" t="s">
        <v>344</v>
      </c>
      <c r="C38" s="53">
        <f>Tasandusfond!AE38</f>
        <v>113652</v>
      </c>
      <c r="D38" s="53">
        <f t="shared" si="0"/>
        <v>1166644</v>
      </c>
      <c r="E38" s="53">
        <f>Üldharidus!AJ38</f>
        <v>1004188</v>
      </c>
      <c r="F38" s="53">
        <f>Üldharidus!AQ38</f>
        <v>0</v>
      </c>
      <c r="G38" s="53">
        <f>Üldharidus!AR38</f>
        <v>46029</v>
      </c>
      <c r="H38" s="53">
        <f>Üldharidus!AS38</f>
        <v>5159</v>
      </c>
      <c r="I38" s="53">
        <f>Üldharidus!AT38</f>
        <v>18126</v>
      </c>
      <c r="J38" s="53">
        <f>Üldharidus!AU38</f>
        <v>55650</v>
      </c>
      <c r="K38" s="53">
        <f>Üldharidus!AV38</f>
        <v>33264</v>
      </c>
      <c r="L38" s="53">
        <f>Üldharidus!AW38</f>
        <v>4228</v>
      </c>
      <c r="M38" s="53">
        <f>Lasteaed!G38</f>
        <v>82830</v>
      </c>
      <c r="N38" s="53">
        <f>Huvitegevus!U38</f>
        <v>49683</v>
      </c>
      <c r="O38" s="53">
        <f>'Abivajadusega lapsed'!E38</f>
        <v>3179</v>
      </c>
      <c r="P38" s="53">
        <f>Toimetulekutoetus!O38</f>
        <v>16084</v>
      </c>
      <c r="Q38" s="53">
        <f>Matusetoetus!N38</f>
        <v>14184</v>
      </c>
      <c r="R38" s="53">
        <f>Asendushooldus!T38</f>
        <v>0</v>
      </c>
      <c r="S38" s="53">
        <f>'Pikaajaline hooldus'!E38</f>
        <v>147346</v>
      </c>
      <c r="T38" s="53">
        <f>Rahvastikutoimingud!Y38</f>
        <v>131</v>
      </c>
      <c r="U38" s="53">
        <f>'Kohalikud teed'!K38</f>
        <v>181496</v>
      </c>
      <c r="V38" s="53">
        <f>Energiatoetus!W38</f>
        <v>0</v>
      </c>
      <c r="W38" s="53"/>
      <c r="X38" s="54">
        <f t="shared" si="1"/>
        <v>1775229</v>
      </c>
      <c r="Y38" s="53"/>
      <c r="Z38" s="53"/>
      <c r="AA38" s="19"/>
    </row>
    <row r="39" spans="1:27" x14ac:dyDescent="0.25">
      <c r="A39" s="48" t="s">
        <v>38</v>
      </c>
      <c r="B39" s="49" t="s">
        <v>342</v>
      </c>
      <c r="C39" s="53">
        <f>Tasandusfond!AE39</f>
        <v>505837</v>
      </c>
      <c r="D39" s="53">
        <f t="shared" si="0"/>
        <v>2176721</v>
      </c>
      <c r="E39" s="53">
        <f>Üldharidus!AJ39</f>
        <v>1570985</v>
      </c>
      <c r="F39" s="53">
        <f>Üldharidus!AQ39</f>
        <v>274811</v>
      </c>
      <c r="G39" s="53">
        <f>Üldharidus!AR39</f>
        <v>59616</v>
      </c>
      <c r="H39" s="53">
        <f>Üldharidus!AS39</f>
        <v>8199</v>
      </c>
      <c r="I39" s="53">
        <f>Üldharidus!AT39</f>
        <v>36936</v>
      </c>
      <c r="J39" s="53">
        <f>Üldharidus!AU39</f>
        <v>113050</v>
      </c>
      <c r="K39" s="53">
        <f>Üldharidus!AV39</f>
        <v>106920</v>
      </c>
      <c r="L39" s="53">
        <f>Üldharidus!AW39</f>
        <v>6204</v>
      </c>
      <c r="M39" s="53">
        <f>Lasteaed!G39</f>
        <v>48939</v>
      </c>
      <c r="N39" s="53">
        <f>Huvitegevus!U39</f>
        <v>65490</v>
      </c>
      <c r="O39" s="53">
        <f>'Abivajadusega lapsed'!E39</f>
        <v>14307</v>
      </c>
      <c r="P39" s="53">
        <f>Toimetulekutoetus!O39</f>
        <v>72270</v>
      </c>
      <c r="Q39" s="53">
        <f>Matusetoetus!N39</f>
        <v>11461</v>
      </c>
      <c r="R39" s="53">
        <f>Asendushooldus!T39</f>
        <v>43040</v>
      </c>
      <c r="S39" s="53">
        <f>'Pikaajaline hooldus'!E39</f>
        <v>127379</v>
      </c>
      <c r="T39" s="53">
        <f>Rahvastikutoimingud!Y39</f>
        <v>321</v>
      </c>
      <c r="U39" s="53">
        <f>'Kohalikud teed'!K39</f>
        <v>145538</v>
      </c>
      <c r="V39" s="53">
        <f>Energiatoetus!W39</f>
        <v>20760</v>
      </c>
      <c r="W39" s="53"/>
      <c r="X39" s="54">
        <f t="shared" si="1"/>
        <v>3232063</v>
      </c>
      <c r="Y39" s="53"/>
      <c r="Z39" s="53"/>
      <c r="AA39" s="19"/>
    </row>
    <row r="40" spans="1:27" x14ac:dyDescent="0.25">
      <c r="A40" s="48" t="s">
        <v>38</v>
      </c>
      <c r="B40" s="49" t="s">
        <v>336</v>
      </c>
      <c r="C40" s="53">
        <f>Tasandusfond!AE40</f>
        <v>724201</v>
      </c>
      <c r="D40" s="53">
        <f t="shared" si="0"/>
        <v>2242520</v>
      </c>
      <c r="E40" s="53">
        <f>Üldharidus!AJ40</f>
        <v>1808409</v>
      </c>
      <c r="F40" s="53">
        <f>Üldharidus!AQ40</f>
        <v>0</v>
      </c>
      <c r="G40" s="53">
        <f>Üldharidus!AR40</f>
        <v>54947</v>
      </c>
      <c r="H40" s="53">
        <f>Üldharidus!AS40</f>
        <v>5975</v>
      </c>
      <c r="I40" s="53">
        <f>Üldharidus!AT40</f>
        <v>25536</v>
      </c>
      <c r="J40" s="53">
        <f>Üldharidus!AU40</f>
        <v>78400</v>
      </c>
      <c r="K40" s="53">
        <f>Üldharidus!AV40</f>
        <v>262548</v>
      </c>
      <c r="L40" s="53">
        <f>Üldharidus!AW40</f>
        <v>6705</v>
      </c>
      <c r="M40" s="53">
        <f>Lasteaed!G40</f>
        <v>59816</v>
      </c>
      <c r="N40" s="53">
        <f>Huvitegevus!U40</f>
        <v>91340</v>
      </c>
      <c r="O40" s="53">
        <f>'Abivajadusega lapsed'!E40</f>
        <v>13115</v>
      </c>
      <c r="P40" s="53">
        <f>Toimetulekutoetus!O40</f>
        <v>49730</v>
      </c>
      <c r="Q40" s="53">
        <f>Matusetoetus!N40</f>
        <v>18619</v>
      </c>
      <c r="R40" s="53">
        <f>Asendushooldus!T40</f>
        <v>108974</v>
      </c>
      <c r="S40" s="53">
        <f>'Pikaajaline hooldus'!E40</f>
        <v>160969</v>
      </c>
      <c r="T40" s="53">
        <f>Rahvastikutoimingud!Y40</f>
        <v>224</v>
      </c>
      <c r="U40" s="53">
        <f>'Kohalikud teed'!K40</f>
        <v>188275</v>
      </c>
      <c r="V40" s="53">
        <f>Energiatoetus!W40</f>
        <v>54717</v>
      </c>
      <c r="W40" s="53"/>
      <c r="X40" s="54">
        <f t="shared" si="1"/>
        <v>3712500</v>
      </c>
      <c r="Y40" s="53"/>
      <c r="Z40" s="53"/>
      <c r="AA40" s="19"/>
    </row>
    <row r="41" spans="1:27" x14ac:dyDescent="0.25">
      <c r="A41" s="48" t="s">
        <v>38</v>
      </c>
      <c r="B41" s="49" t="s">
        <v>37</v>
      </c>
      <c r="C41" s="53">
        <f>Tasandusfond!AE41</f>
        <v>1429380</v>
      </c>
      <c r="D41" s="53">
        <f t="shared" si="0"/>
        <v>5033756</v>
      </c>
      <c r="E41" s="53">
        <f>Üldharidus!AJ41</f>
        <v>4150683</v>
      </c>
      <c r="F41" s="53">
        <f>Üldharidus!AQ41</f>
        <v>0</v>
      </c>
      <c r="G41" s="53">
        <f>Üldharidus!AR41</f>
        <v>161729</v>
      </c>
      <c r="H41" s="53">
        <f>Üldharidus!AS41</f>
        <v>25349</v>
      </c>
      <c r="I41" s="53">
        <f>Üldharidus!AT41</f>
        <v>91713</v>
      </c>
      <c r="J41" s="53">
        <f>Üldharidus!AU41</f>
        <v>280525</v>
      </c>
      <c r="K41" s="53">
        <f>Üldharidus!AV41</f>
        <v>307692</v>
      </c>
      <c r="L41" s="53">
        <f>Üldharidus!AW41</f>
        <v>16065</v>
      </c>
      <c r="M41" s="53">
        <f>Lasteaed!G41</f>
        <v>141251</v>
      </c>
      <c r="N41" s="53">
        <f>Huvitegevus!U41</f>
        <v>86603</v>
      </c>
      <c r="O41" s="53">
        <f>'Abivajadusega lapsed'!E41</f>
        <v>30999</v>
      </c>
      <c r="P41" s="53">
        <f>Toimetulekutoetus!O41</f>
        <v>408314</v>
      </c>
      <c r="Q41" s="53">
        <f>Matusetoetus!N41</f>
        <v>45655</v>
      </c>
      <c r="R41" s="53">
        <f>Asendushooldus!T41</f>
        <v>433148</v>
      </c>
      <c r="S41" s="53">
        <f>'Pikaajaline hooldus'!E41</f>
        <v>469115</v>
      </c>
      <c r="T41" s="53">
        <f>Rahvastikutoimingud!Y41</f>
        <v>47385</v>
      </c>
      <c r="U41" s="53">
        <f>'Kohalikud teed'!K41</f>
        <v>326998</v>
      </c>
      <c r="V41" s="53">
        <f>Energiatoetus!W41</f>
        <v>96140</v>
      </c>
      <c r="W41" s="53"/>
      <c r="X41" s="54">
        <f t="shared" si="1"/>
        <v>8548744</v>
      </c>
      <c r="Y41" s="53"/>
      <c r="Z41" s="53"/>
      <c r="AA41" s="19"/>
    </row>
    <row r="42" spans="1:27" x14ac:dyDescent="0.25">
      <c r="A42" s="48" t="s">
        <v>38</v>
      </c>
      <c r="B42" s="49" t="s">
        <v>328</v>
      </c>
      <c r="C42" s="53">
        <f>Tasandusfond!AE42</f>
        <v>2110280</v>
      </c>
      <c r="D42" s="53">
        <f t="shared" si="0"/>
        <v>3931750</v>
      </c>
      <c r="E42" s="53">
        <f>Üldharidus!AJ42</f>
        <v>2910358</v>
      </c>
      <c r="F42" s="53">
        <f>Üldharidus!AQ42</f>
        <v>460197</v>
      </c>
      <c r="G42" s="53">
        <f>Üldharidus!AR42</f>
        <v>140004</v>
      </c>
      <c r="H42" s="53">
        <f>Üldharidus!AS42</f>
        <v>18795</v>
      </c>
      <c r="I42" s="53">
        <f>Üldharidus!AT42</f>
        <v>67716</v>
      </c>
      <c r="J42" s="53">
        <f>Üldharidus!AU42</f>
        <v>197925</v>
      </c>
      <c r="K42" s="53">
        <f>Üldharidus!AV42</f>
        <v>124740</v>
      </c>
      <c r="L42" s="53">
        <f>Üldharidus!AW42</f>
        <v>12015</v>
      </c>
      <c r="M42" s="53">
        <f>Lasteaed!G42</f>
        <v>127396</v>
      </c>
      <c r="N42" s="53">
        <f>Huvitegevus!U42</f>
        <v>147831</v>
      </c>
      <c r="O42" s="53">
        <f>'Abivajadusega lapsed'!E42</f>
        <v>27819</v>
      </c>
      <c r="P42" s="53">
        <f>Toimetulekutoetus!O42</f>
        <v>342229</v>
      </c>
      <c r="Q42" s="53">
        <f>Matusetoetus!N42</f>
        <v>40603</v>
      </c>
      <c r="R42" s="53">
        <f>Asendushooldus!T42</f>
        <v>655675</v>
      </c>
      <c r="S42" s="53">
        <f>'Pikaajaline hooldus'!E42</f>
        <v>378451</v>
      </c>
      <c r="T42" s="53">
        <f>Rahvastikutoimingud!Y42</f>
        <v>807</v>
      </c>
      <c r="U42" s="53">
        <f>'Kohalikud teed'!K42</f>
        <v>468162</v>
      </c>
      <c r="V42" s="53">
        <f>Energiatoetus!W42</f>
        <v>67731</v>
      </c>
      <c r="W42" s="53"/>
      <c r="X42" s="54">
        <f t="shared" si="1"/>
        <v>8298734</v>
      </c>
      <c r="Y42" s="53"/>
      <c r="Z42" s="53"/>
      <c r="AA42" s="19"/>
    </row>
    <row r="43" spans="1:27" x14ac:dyDescent="0.25">
      <c r="A43" s="48" t="s">
        <v>38</v>
      </c>
      <c r="B43" s="49" t="s">
        <v>324</v>
      </c>
      <c r="C43" s="53">
        <f>Tasandusfond!AE43</f>
        <v>1464355</v>
      </c>
      <c r="D43" s="53">
        <f t="shared" si="0"/>
        <v>2633639</v>
      </c>
      <c r="E43" s="53">
        <f>Üldharidus!AJ43</f>
        <v>2126008</v>
      </c>
      <c r="F43" s="53">
        <f>Üldharidus!AQ43</f>
        <v>144290</v>
      </c>
      <c r="G43" s="53">
        <f>Üldharidus!AR43</f>
        <v>96413</v>
      </c>
      <c r="H43" s="53">
        <f>Üldharidus!AS43</f>
        <v>10536</v>
      </c>
      <c r="I43" s="53">
        <f>Üldharidus!AT43</f>
        <v>37791</v>
      </c>
      <c r="J43" s="53">
        <f>Üldharidus!AU43</f>
        <v>115850</v>
      </c>
      <c r="K43" s="53">
        <f>Üldharidus!AV43</f>
        <v>93852</v>
      </c>
      <c r="L43" s="53">
        <f>Üldharidus!AW43</f>
        <v>8899</v>
      </c>
      <c r="M43" s="53">
        <f>Lasteaed!G43</f>
        <v>85750</v>
      </c>
      <c r="N43" s="53">
        <f>Huvitegevus!U43</f>
        <v>115966</v>
      </c>
      <c r="O43" s="53">
        <f>'Abivajadusega lapsed'!E43</f>
        <v>11923</v>
      </c>
      <c r="P43" s="53">
        <f>Toimetulekutoetus!O43</f>
        <v>141612</v>
      </c>
      <c r="Q43" s="53">
        <f>Matusetoetus!N43</f>
        <v>22772</v>
      </c>
      <c r="R43" s="53">
        <f>Asendushooldus!T43</f>
        <v>108974</v>
      </c>
      <c r="S43" s="53">
        <f>'Pikaajaline hooldus'!E43</f>
        <v>197029</v>
      </c>
      <c r="T43" s="53">
        <f>Rahvastikutoimingud!Y43</f>
        <v>429</v>
      </c>
      <c r="U43" s="53">
        <f>'Kohalikud teed'!K43</f>
        <v>453944</v>
      </c>
      <c r="V43" s="53">
        <f>Energiatoetus!W43</f>
        <v>14483</v>
      </c>
      <c r="W43" s="53"/>
      <c r="X43" s="54">
        <f t="shared" si="1"/>
        <v>5250876</v>
      </c>
      <c r="Y43" s="53"/>
      <c r="Z43" s="53"/>
      <c r="AA43" s="19"/>
    </row>
    <row r="44" spans="1:27" x14ac:dyDescent="0.25">
      <c r="A44" s="48" t="s">
        <v>38</v>
      </c>
      <c r="B44" s="49" t="s">
        <v>322</v>
      </c>
      <c r="C44" s="53">
        <f>Tasandusfond!AE44</f>
        <v>963305</v>
      </c>
      <c r="D44" s="53">
        <f t="shared" si="0"/>
        <v>2044796</v>
      </c>
      <c r="E44" s="53">
        <f>Üldharidus!AJ44</f>
        <v>1622584</v>
      </c>
      <c r="F44" s="53">
        <f>Üldharidus!AQ44</f>
        <v>106227</v>
      </c>
      <c r="G44" s="53">
        <f>Üldharidus!AR44</f>
        <v>76723</v>
      </c>
      <c r="H44" s="53">
        <f>Üldharidus!AS44</f>
        <v>9349</v>
      </c>
      <c r="I44" s="53">
        <f>Üldharidus!AT44</f>
        <v>30096</v>
      </c>
      <c r="J44" s="53">
        <f>Üldharidus!AU44</f>
        <v>92225</v>
      </c>
      <c r="K44" s="53">
        <f>Üldharidus!AV44</f>
        <v>100980</v>
      </c>
      <c r="L44" s="53">
        <f>Üldharidus!AW44</f>
        <v>6612</v>
      </c>
      <c r="M44" s="53">
        <f>Lasteaed!G44</f>
        <v>94841</v>
      </c>
      <c r="N44" s="53">
        <f>Huvitegevus!U44</f>
        <v>87055</v>
      </c>
      <c r="O44" s="53">
        <f>'Abivajadusega lapsed'!E44</f>
        <v>14705</v>
      </c>
      <c r="P44" s="53">
        <f>Toimetulekutoetus!O44</f>
        <v>204053</v>
      </c>
      <c r="Q44" s="53">
        <f>Matusetoetus!N44</f>
        <v>20502</v>
      </c>
      <c r="R44" s="53">
        <f>Asendushooldus!T44</f>
        <v>173992</v>
      </c>
      <c r="S44" s="53">
        <f>'Pikaajaline hooldus'!E44</f>
        <v>218998</v>
      </c>
      <c r="T44" s="53">
        <f>Rahvastikutoimingud!Y44</f>
        <v>259</v>
      </c>
      <c r="U44" s="53">
        <f>'Kohalikud teed'!K44</f>
        <v>234060</v>
      </c>
      <c r="V44" s="53">
        <f>Energiatoetus!W44</f>
        <v>66840</v>
      </c>
      <c r="W44" s="53"/>
      <c r="X44" s="54">
        <f t="shared" si="1"/>
        <v>4123406</v>
      </c>
      <c r="Y44" s="53"/>
      <c r="Z44" s="53"/>
      <c r="AA44" s="19"/>
    </row>
    <row r="45" spans="1:27" x14ac:dyDescent="0.25">
      <c r="A45" s="48" t="s">
        <v>38</v>
      </c>
      <c r="B45" s="49" t="s">
        <v>320</v>
      </c>
      <c r="C45" s="53">
        <f>Tasandusfond!AE45</f>
        <v>1294846</v>
      </c>
      <c r="D45" s="53">
        <f t="shared" si="0"/>
        <v>2408917</v>
      </c>
      <c r="E45" s="53">
        <f>Üldharidus!AJ45</f>
        <v>1917102</v>
      </c>
      <c r="F45" s="53">
        <f>Üldharidus!AQ45</f>
        <v>157262</v>
      </c>
      <c r="G45" s="53">
        <f>Üldharidus!AR45</f>
        <v>91905</v>
      </c>
      <c r="H45" s="53">
        <f>Üldharidus!AS45</f>
        <v>11024</v>
      </c>
      <c r="I45" s="53">
        <f>Üldharidus!AT45</f>
        <v>35169</v>
      </c>
      <c r="J45" s="53">
        <f>Üldharidus!AU45</f>
        <v>107625</v>
      </c>
      <c r="K45" s="53">
        <f>Üldharidus!AV45</f>
        <v>80784</v>
      </c>
      <c r="L45" s="53">
        <f>Üldharidus!AW45</f>
        <v>8046</v>
      </c>
      <c r="M45" s="53">
        <f>Lasteaed!G45</f>
        <v>99629</v>
      </c>
      <c r="N45" s="53">
        <f>Huvitegevus!U45</f>
        <v>101339</v>
      </c>
      <c r="O45" s="53">
        <f>'Abivajadusega lapsed'!E45</f>
        <v>15102</v>
      </c>
      <c r="P45" s="53">
        <f>Toimetulekutoetus!O45</f>
        <v>181755</v>
      </c>
      <c r="Q45" s="53">
        <f>Matusetoetus!N45</f>
        <v>21099</v>
      </c>
      <c r="R45" s="53">
        <f>Asendushooldus!T45</f>
        <v>119047</v>
      </c>
      <c r="S45" s="53">
        <f>'Pikaajaline hooldus'!E45</f>
        <v>185913</v>
      </c>
      <c r="T45" s="53">
        <f>Rahvastikutoimingud!Y45</f>
        <v>276</v>
      </c>
      <c r="U45" s="53">
        <f>'Kohalikud teed'!K45</f>
        <v>336835</v>
      </c>
      <c r="V45" s="53">
        <f>Energiatoetus!W45</f>
        <v>52777</v>
      </c>
      <c r="W45" s="53"/>
      <c r="X45" s="54">
        <f t="shared" si="1"/>
        <v>4817535</v>
      </c>
      <c r="Y45" s="53"/>
      <c r="Z45" s="53"/>
      <c r="AA45" s="19"/>
    </row>
    <row r="46" spans="1:27" x14ac:dyDescent="0.25">
      <c r="A46" s="48" t="s">
        <v>35</v>
      </c>
      <c r="B46" s="49" t="s">
        <v>316</v>
      </c>
      <c r="C46" s="53">
        <f>Tasandusfond!AE46</f>
        <v>629567</v>
      </c>
      <c r="D46" s="53">
        <f t="shared" si="0"/>
        <v>1583574</v>
      </c>
      <c r="E46" s="53">
        <f>Üldharidus!AJ46</f>
        <v>1259699</v>
      </c>
      <c r="F46" s="53">
        <f>Üldharidus!AQ46</f>
        <v>106227</v>
      </c>
      <c r="G46" s="53">
        <f>Üldharidus!AR46</f>
        <v>57447</v>
      </c>
      <c r="H46" s="53">
        <f>Üldharidus!AS46</f>
        <v>6101</v>
      </c>
      <c r="I46" s="53">
        <f>Üldharidus!AT46</f>
        <v>20805</v>
      </c>
      <c r="J46" s="53">
        <f>Üldharidus!AU46</f>
        <v>63875</v>
      </c>
      <c r="K46" s="53">
        <f>Üldharidus!AV46</f>
        <v>64152</v>
      </c>
      <c r="L46" s="53">
        <f>Üldharidus!AW46</f>
        <v>5268</v>
      </c>
      <c r="M46" s="53">
        <f>Lasteaed!G46</f>
        <v>48025</v>
      </c>
      <c r="N46" s="53">
        <f>Huvitegevus!U46</f>
        <v>71911</v>
      </c>
      <c r="O46" s="53">
        <f>'Abivajadusega lapsed'!E46</f>
        <v>9141</v>
      </c>
      <c r="P46" s="53">
        <f>Toimetulekutoetus!O46</f>
        <v>63582</v>
      </c>
      <c r="Q46" s="53">
        <f>Matusetoetus!N46</f>
        <v>17364</v>
      </c>
      <c r="R46" s="53">
        <f>Asendushooldus!T46</f>
        <v>21978</v>
      </c>
      <c r="S46" s="53">
        <f>'Pikaajaline hooldus'!E46</f>
        <v>158761</v>
      </c>
      <c r="T46" s="53">
        <f>Rahvastikutoimingud!Y46</f>
        <v>350</v>
      </c>
      <c r="U46" s="53">
        <f>'Kohalikud teed'!K46</f>
        <v>186887</v>
      </c>
      <c r="V46" s="53">
        <f>Energiatoetus!W46</f>
        <v>14924</v>
      </c>
      <c r="W46" s="53"/>
      <c r="X46" s="54">
        <f t="shared" si="1"/>
        <v>2806064</v>
      </c>
      <c r="Y46" s="53"/>
      <c r="Z46" s="53"/>
      <c r="AA46" s="19"/>
    </row>
    <row r="47" spans="1:27" x14ac:dyDescent="0.25">
      <c r="A47" s="48" t="s">
        <v>35</v>
      </c>
      <c r="B47" s="49" t="s">
        <v>304</v>
      </c>
      <c r="C47" s="53">
        <f>Tasandusfond!AE47</f>
        <v>1997279</v>
      </c>
      <c r="D47" s="53">
        <f t="shared" si="0"/>
        <v>4711708</v>
      </c>
      <c r="E47" s="53">
        <f>Üldharidus!AJ47</f>
        <v>3895839</v>
      </c>
      <c r="F47" s="53">
        <f>Üldharidus!AQ47</f>
        <v>0</v>
      </c>
      <c r="G47" s="53">
        <f>Üldharidus!AR47</f>
        <v>200981</v>
      </c>
      <c r="H47" s="53">
        <f>Üldharidus!AS47</f>
        <v>25826</v>
      </c>
      <c r="I47" s="53">
        <f>Üldharidus!AT47</f>
        <v>68115</v>
      </c>
      <c r="J47" s="53">
        <f>Üldharidus!AU47</f>
        <v>208425</v>
      </c>
      <c r="K47" s="53">
        <f>Üldharidus!AV47</f>
        <v>297000</v>
      </c>
      <c r="L47" s="53">
        <f>Üldharidus!AW47</f>
        <v>15522</v>
      </c>
      <c r="M47" s="53">
        <f>Lasteaed!G47</f>
        <v>206730</v>
      </c>
      <c r="N47" s="53">
        <f>Huvitegevus!U47</f>
        <v>195680</v>
      </c>
      <c r="O47" s="53">
        <f>'Abivajadusega lapsed'!E47</f>
        <v>29012</v>
      </c>
      <c r="P47" s="53">
        <f>Toimetulekutoetus!O47</f>
        <v>378943</v>
      </c>
      <c r="Q47" s="53">
        <f>Matusetoetus!N47</f>
        <v>44321</v>
      </c>
      <c r="R47" s="53">
        <f>Asendushooldus!T47</f>
        <v>236263</v>
      </c>
      <c r="S47" s="53">
        <f>'Pikaajaline hooldus'!E47</f>
        <v>460619</v>
      </c>
      <c r="T47" s="53">
        <f>Rahvastikutoimingud!Y47</f>
        <v>30617</v>
      </c>
      <c r="U47" s="53">
        <f>'Kohalikud teed'!K47</f>
        <v>482584</v>
      </c>
      <c r="V47" s="53">
        <f>Energiatoetus!W47</f>
        <v>113005</v>
      </c>
      <c r="W47" s="53"/>
      <c r="X47" s="54">
        <f t="shared" si="1"/>
        <v>8886761</v>
      </c>
      <c r="Y47" s="53"/>
      <c r="Z47" s="53"/>
      <c r="AA47" s="19"/>
    </row>
    <row r="48" spans="1:27" x14ac:dyDescent="0.25">
      <c r="A48" s="48" t="s">
        <v>35</v>
      </c>
      <c r="B48" s="49" t="s">
        <v>302</v>
      </c>
      <c r="C48" s="53">
        <f>Tasandusfond!AE48</f>
        <v>959174</v>
      </c>
      <c r="D48" s="53">
        <f t="shared" si="0"/>
        <v>1913409</v>
      </c>
      <c r="E48" s="53">
        <f>Üldharidus!AJ48</f>
        <v>1445547</v>
      </c>
      <c r="F48" s="53">
        <f>Üldharidus!AQ48</f>
        <v>176417</v>
      </c>
      <c r="G48" s="53">
        <f>Üldharidus!AR48</f>
        <v>77137</v>
      </c>
      <c r="H48" s="53">
        <f>Üldharidus!AS48</f>
        <v>9145</v>
      </c>
      <c r="I48" s="53">
        <f>Üldharidus!AT48</f>
        <v>28386</v>
      </c>
      <c r="J48" s="53">
        <f>Üldharidus!AU48</f>
        <v>86450</v>
      </c>
      <c r="K48" s="53">
        <f>Üldharidus!AV48</f>
        <v>84348</v>
      </c>
      <c r="L48" s="53">
        <f>Üldharidus!AW48</f>
        <v>5979</v>
      </c>
      <c r="M48" s="53">
        <f>Lasteaed!G48</f>
        <v>52441</v>
      </c>
      <c r="N48" s="53">
        <f>Huvitegevus!U48</f>
        <v>87257</v>
      </c>
      <c r="O48" s="53">
        <f>'Abivajadusega lapsed'!E48</f>
        <v>18281</v>
      </c>
      <c r="P48" s="53">
        <f>Toimetulekutoetus!O48</f>
        <v>78049</v>
      </c>
      <c r="Q48" s="53">
        <f>Matusetoetus!N48</f>
        <v>24212</v>
      </c>
      <c r="R48" s="53">
        <f>Asendushooldus!T48</f>
        <v>243589</v>
      </c>
      <c r="S48" s="53">
        <f>'Pikaajaline hooldus'!E48</f>
        <v>237093</v>
      </c>
      <c r="T48" s="53">
        <f>Rahvastikutoimingud!Y48</f>
        <v>287</v>
      </c>
      <c r="U48" s="53">
        <f>'Kohalikud teed'!K48</f>
        <v>243068</v>
      </c>
      <c r="V48" s="53">
        <f>Energiatoetus!W48</f>
        <v>31291</v>
      </c>
      <c r="W48" s="53"/>
      <c r="X48" s="54">
        <f t="shared" si="1"/>
        <v>3888151</v>
      </c>
      <c r="Y48" s="53"/>
      <c r="Z48" s="53"/>
      <c r="AA48" s="19"/>
    </row>
    <row r="49" spans="1:27" x14ac:dyDescent="0.25">
      <c r="A49" s="48" t="s">
        <v>28</v>
      </c>
      <c r="B49" s="49" t="s">
        <v>283</v>
      </c>
      <c r="C49" s="53">
        <f>Tasandusfond!AE49</f>
        <v>1123880</v>
      </c>
      <c r="D49" s="53">
        <f t="shared" si="0"/>
        <v>1858921</v>
      </c>
      <c r="E49" s="53">
        <f>Üldharidus!AJ49</f>
        <v>1556530</v>
      </c>
      <c r="F49" s="53">
        <f>Üldharidus!AQ49</f>
        <v>81016</v>
      </c>
      <c r="G49" s="53">
        <f>Üldharidus!AR49</f>
        <v>62599</v>
      </c>
      <c r="H49" s="53">
        <f>Üldharidus!AS49</f>
        <v>6786</v>
      </c>
      <c r="I49" s="53">
        <f>Üldharidus!AT49</f>
        <v>27531</v>
      </c>
      <c r="J49" s="53">
        <f>Üldharidus!AU49</f>
        <v>84525</v>
      </c>
      <c r="K49" s="53">
        <f>Üldharidus!AV49</f>
        <v>33264</v>
      </c>
      <c r="L49" s="53">
        <f>Üldharidus!AW49</f>
        <v>6670</v>
      </c>
      <c r="M49" s="53">
        <f>Lasteaed!G49</f>
        <v>45078</v>
      </c>
      <c r="N49" s="53">
        <f>Huvitegevus!U49</f>
        <v>80721</v>
      </c>
      <c r="O49" s="53">
        <f>'Abivajadusega lapsed'!E49</f>
        <v>9538</v>
      </c>
      <c r="P49" s="53">
        <f>Toimetulekutoetus!O49</f>
        <v>85142</v>
      </c>
      <c r="Q49" s="53">
        <f>Matusetoetus!N49</f>
        <v>16762</v>
      </c>
      <c r="R49" s="53">
        <f>Asendushooldus!T49</f>
        <v>0</v>
      </c>
      <c r="S49" s="53">
        <f>'Pikaajaline hooldus'!E49</f>
        <v>140328</v>
      </c>
      <c r="T49" s="53">
        <f>Rahvastikutoimingud!Y49</f>
        <v>254</v>
      </c>
      <c r="U49" s="53">
        <f>'Kohalikud teed'!K49</f>
        <v>204181</v>
      </c>
      <c r="V49" s="53">
        <f>Energiatoetus!W49</f>
        <v>32704</v>
      </c>
      <c r="W49" s="53"/>
      <c r="X49" s="54">
        <f t="shared" si="1"/>
        <v>3597509</v>
      </c>
      <c r="Y49" s="53"/>
      <c r="Z49" s="53"/>
      <c r="AA49" s="19"/>
    </row>
    <row r="50" spans="1:27" x14ac:dyDescent="0.25">
      <c r="A50" s="48" t="s">
        <v>28</v>
      </c>
      <c r="B50" s="49" t="s">
        <v>281</v>
      </c>
      <c r="C50" s="53">
        <f>Tasandusfond!AE50</f>
        <v>202939</v>
      </c>
      <c r="D50" s="53">
        <f t="shared" si="0"/>
        <v>233603</v>
      </c>
      <c r="E50" s="53">
        <f>Üldharidus!AJ50</f>
        <v>213740</v>
      </c>
      <c r="F50" s="53">
        <f>Üldharidus!AQ50</f>
        <v>0</v>
      </c>
      <c r="G50" s="53">
        <f>Üldharidus!AR50</f>
        <v>7063</v>
      </c>
      <c r="H50" s="53">
        <f>Üldharidus!AS50</f>
        <v>1309</v>
      </c>
      <c r="I50" s="53">
        <f>Üldharidus!AT50</f>
        <v>2337</v>
      </c>
      <c r="J50" s="53">
        <f>Üldharidus!AU50</f>
        <v>7175</v>
      </c>
      <c r="K50" s="53">
        <f>Üldharidus!AV50</f>
        <v>1188</v>
      </c>
      <c r="L50" s="53">
        <f>Üldharidus!AW50</f>
        <v>791</v>
      </c>
      <c r="M50" s="53">
        <f>Lasteaed!G50</f>
        <v>3884</v>
      </c>
      <c r="N50" s="53">
        <f>Huvitegevus!U50</f>
        <v>6998</v>
      </c>
      <c r="O50" s="53">
        <f>'Abivajadusega lapsed'!E50</f>
        <v>0</v>
      </c>
      <c r="P50" s="53">
        <f>Toimetulekutoetus!O50</f>
        <v>9974</v>
      </c>
      <c r="Q50" s="53">
        <f>Matusetoetus!N50</f>
        <v>2197</v>
      </c>
      <c r="R50" s="53">
        <f>Asendushooldus!T50</f>
        <v>0</v>
      </c>
      <c r="S50" s="53">
        <f>'Pikaajaline hooldus'!E50</f>
        <v>18750</v>
      </c>
      <c r="T50" s="53">
        <f>Rahvastikutoimingud!Y50</f>
        <v>28</v>
      </c>
      <c r="U50" s="53">
        <f>'Kohalikud teed'!K50</f>
        <v>18352</v>
      </c>
      <c r="V50" s="53">
        <f>Energiatoetus!W50</f>
        <v>7523</v>
      </c>
      <c r="W50" s="53">
        <f>'Üleantud teed'!H6</f>
        <v>2516</v>
      </c>
      <c r="X50" s="54">
        <f t="shared" si="1"/>
        <v>506764</v>
      </c>
      <c r="Y50" s="53"/>
      <c r="Z50" s="53"/>
      <c r="AA50" s="19"/>
    </row>
    <row r="51" spans="1:27" x14ac:dyDescent="0.25">
      <c r="A51" s="48" t="s">
        <v>28</v>
      </c>
      <c r="B51" s="49" t="s">
        <v>595</v>
      </c>
      <c r="C51" s="53">
        <f>Tasandusfond!AE51</f>
        <v>830314</v>
      </c>
      <c r="D51" s="53">
        <f t="shared" si="0"/>
        <v>2011792</v>
      </c>
      <c r="E51" s="53">
        <f>Üldharidus!AJ51</f>
        <v>1622858</v>
      </c>
      <c r="F51" s="53">
        <f>Üldharidus!AQ51</f>
        <v>142791</v>
      </c>
      <c r="G51" s="53">
        <f>Üldharidus!AR51</f>
        <v>79963</v>
      </c>
      <c r="H51" s="53">
        <f>Üldharidus!AS51</f>
        <v>9571</v>
      </c>
      <c r="I51" s="53">
        <f>Üldharidus!AT51</f>
        <v>26687</v>
      </c>
      <c r="J51" s="53">
        <f>Üldharidus!AU51</f>
        <v>80150</v>
      </c>
      <c r="K51" s="53">
        <f>Üldharidus!AV51</f>
        <v>42768</v>
      </c>
      <c r="L51" s="53">
        <f>Üldharidus!AW51</f>
        <v>7004</v>
      </c>
      <c r="M51" s="53">
        <f>Lasteaed!G51</f>
        <v>85232</v>
      </c>
      <c r="N51" s="53">
        <f>Huvitegevus!U51</f>
        <v>78542</v>
      </c>
      <c r="O51" s="53">
        <f>'Abivajadusega lapsed'!E51</f>
        <v>8743</v>
      </c>
      <c r="P51" s="53">
        <f>Toimetulekutoetus!O51</f>
        <v>187421</v>
      </c>
      <c r="Q51" s="53">
        <f>Matusetoetus!N51</f>
        <v>20385</v>
      </c>
      <c r="R51" s="53">
        <f>Asendushooldus!T51</f>
        <v>21062</v>
      </c>
      <c r="S51" s="53">
        <f>'Pikaajaline hooldus'!E51</f>
        <v>190797</v>
      </c>
      <c r="T51" s="53">
        <f>Rahvastikutoimingud!Y51</f>
        <v>252</v>
      </c>
      <c r="U51" s="53">
        <f>'Kohalikud teed'!K51</f>
        <v>420871</v>
      </c>
      <c r="V51" s="53">
        <f>Energiatoetus!W51</f>
        <v>23911</v>
      </c>
      <c r="W51" s="53"/>
      <c r="X51" s="54">
        <f t="shared" si="1"/>
        <v>3879322</v>
      </c>
      <c r="Y51" s="53">
        <f>Asendushooldus!N51</f>
        <v>-82417</v>
      </c>
      <c r="Z51" s="53"/>
      <c r="AA51" s="54">
        <f>SUM(Y51:Z51)</f>
        <v>-82417</v>
      </c>
    </row>
    <row r="52" spans="1:27" x14ac:dyDescent="0.25">
      <c r="A52" s="48" t="s">
        <v>28</v>
      </c>
      <c r="B52" s="49" t="s">
        <v>596</v>
      </c>
      <c r="C52" s="53">
        <f>Tasandusfond!AE52</f>
        <v>1588443</v>
      </c>
      <c r="D52" s="53">
        <f t="shared" si="0"/>
        <v>3008301</v>
      </c>
      <c r="E52" s="53">
        <f>Üldharidus!AJ52</f>
        <v>2471075</v>
      </c>
      <c r="F52" s="53">
        <f>Üldharidus!AQ52</f>
        <v>132616</v>
      </c>
      <c r="G52" s="53">
        <f>Üldharidus!AR52</f>
        <v>109776</v>
      </c>
      <c r="H52" s="53">
        <f>Üldharidus!AS52</f>
        <v>13877</v>
      </c>
      <c r="I52" s="53">
        <f>Üldharidus!AT52</f>
        <v>43035</v>
      </c>
      <c r="J52" s="53">
        <f>Üldharidus!AU52</f>
        <v>131250</v>
      </c>
      <c r="K52" s="53">
        <f>Üldharidus!AV52</f>
        <v>96228</v>
      </c>
      <c r="L52" s="53">
        <f>Üldharidus!AW52</f>
        <v>10444</v>
      </c>
      <c r="M52" s="53">
        <f>Lasteaed!G52</f>
        <v>147515</v>
      </c>
      <c r="N52" s="53">
        <f>Huvitegevus!U52</f>
        <v>110306</v>
      </c>
      <c r="O52" s="53">
        <f>'Abivajadusega lapsed'!E52</f>
        <v>11923</v>
      </c>
      <c r="P52" s="53">
        <f>Toimetulekutoetus!O52</f>
        <v>120764</v>
      </c>
      <c r="Q52" s="53">
        <f>Matusetoetus!N52</f>
        <v>31239</v>
      </c>
      <c r="R52" s="53">
        <f>Asendushooldus!T52</f>
        <v>140185</v>
      </c>
      <c r="S52" s="53">
        <f>'Pikaajaline hooldus'!E52</f>
        <v>278898</v>
      </c>
      <c r="T52" s="53">
        <f>Rahvastikutoimingud!Y52</f>
        <v>449</v>
      </c>
      <c r="U52" s="53">
        <f>'Kohalikud teed'!K52</f>
        <v>322324</v>
      </c>
      <c r="V52" s="53">
        <f>Energiatoetus!W52</f>
        <v>93121</v>
      </c>
      <c r="W52" s="53"/>
      <c r="X52" s="54">
        <f t="shared" si="1"/>
        <v>5853468</v>
      </c>
      <c r="Y52" s="53">
        <f>Asendushooldus!N52</f>
        <v>-238094</v>
      </c>
      <c r="Z52" s="53"/>
      <c r="AA52" s="54">
        <f>SUM(Y52:Z52)</f>
        <v>-238094</v>
      </c>
    </row>
    <row r="53" spans="1:27" x14ac:dyDescent="0.25">
      <c r="A53" s="48" t="s">
        <v>28</v>
      </c>
      <c r="B53" s="49" t="s">
        <v>30</v>
      </c>
      <c r="C53" s="53">
        <f>Tasandusfond!AE53</f>
        <v>5672585</v>
      </c>
      <c r="D53" s="53">
        <f t="shared" si="0"/>
        <v>19545891</v>
      </c>
      <c r="E53" s="53">
        <f>Üldharidus!AJ53</f>
        <v>15150521</v>
      </c>
      <c r="F53" s="53">
        <f>Üldharidus!AQ53</f>
        <v>941683</v>
      </c>
      <c r="G53" s="53">
        <f>Üldharidus!AR53</f>
        <v>604198</v>
      </c>
      <c r="H53" s="53">
        <f>Üldharidus!AS53</f>
        <v>84390</v>
      </c>
      <c r="I53" s="53">
        <f>Üldharidus!AT53</f>
        <v>335730</v>
      </c>
      <c r="J53" s="53">
        <f>Üldharidus!AU53</f>
        <v>1027775</v>
      </c>
      <c r="K53" s="53">
        <f>Üldharidus!AV53</f>
        <v>1343628</v>
      </c>
      <c r="L53" s="53">
        <f>Üldharidus!AW53</f>
        <v>57966</v>
      </c>
      <c r="M53" s="53">
        <f>Lasteaed!G53</f>
        <v>773604</v>
      </c>
      <c r="N53" s="53">
        <f>Huvitegevus!U53</f>
        <v>408316</v>
      </c>
      <c r="O53" s="53">
        <f>'Abivajadusega lapsed'!E53</f>
        <v>112867</v>
      </c>
      <c r="P53" s="53">
        <f>Toimetulekutoetus!O53</f>
        <v>1827889</v>
      </c>
      <c r="Q53" s="53">
        <f>Matusetoetus!N53</f>
        <v>176646</v>
      </c>
      <c r="R53" s="53">
        <f>Asendushooldus!T53</f>
        <v>689744</v>
      </c>
      <c r="S53" s="53">
        <f>'Pikaajaline hooldus'!E53</f>
        <v>1734485</v>
      </c>
      <c r="T53" s="53">
        <f>Rahvastikutoimingud!Y53</f>
        <v>79580</v>
      </c>
      <c r="U53" s="53">
        <f>'Kohalikud teed'!K53</f>
        <v>1135930</v>
      </c>
      <c r="V53" s="53">
        <f>Energiatoetus!W53</f>
        <v>334325</v>
      </c>
      <c r="W53" s="53"/>
      <c r="X53" s="54">
        <f t="shared" si="1"/>
        <v>32491862</v>
      </c>
      <c r="Y53" s="53">
        <f>Asendushooldus!N53</f>
        <v>265566</v>
      </c>
      <c r="Z53" s="53"/>
      <c r="AA53" s="54">
        <f>SUM(Y53:Z53)</f>
        <v>265566</v>
      </c>
    </row>
    <row r="54" spans="1:27" x14ac:dyDescent="0.25">
      <c r="A54" s="48" t="s">
        <v>28</v>
      </c>
      <c r="B54" s="49" t="s">
        <v>275</v>
      </c>
      <c r="C54" s="53">
        <f>Tasandusfond!AE54</f>
        <v>680943</v>
      </c>
      <c r="D54" s="53">
        <f t="shared" si="0"/>
        <v>1580666</v>
      </c>
      <c r="E54" s="53">
        <f>Üldharidus!AJ54</f>
        <v>1208976</v>
      </c>
      <c r="F54" s="53">
        <f>Üldharidus!AQ54</f>
        <v>165123</v>
      </c>
      <c r="G54" s="53">
        <f>Üldharidus!AR54</f>
        <v>58450</v>
      </c>
      <c r="H54" s="53">
        <f>Üldharidus!AS54</f>
        <v>7428</v>
      </c>
      <c r="I54" s="53">
        <f>Üldharidus!AT54</f>
        <v>24054</v>
      </c>
      <c r="J54" s="53">
        <f>Üldharidus!AU54</f>
        <v>73500</v>
      </c>
      <c r="K54" s="53">
        <f>Üldharidus!AV54</f>
        <v>38016</v>
      </c>
      <c r="L54" s="53">
        <f>Üldharidus!AW54</f>
        <v>5119</v>
      </c>
      <c r="M54" s="53">
        <f>Lasteaed!G54</f>
        <v>51602</v>
      </c>
      <c r="N54" s="53">
        <f>Huvitegevus!U54</f>
        <v>76621</v>
      </c>
      <c r="O54" s="53">
        <f>'Abivajadusega lapsed'!E54</f>
        <v>4372</v>
      </c>
      <c r="P54" s="53">
        <f>Toimetulekutoetus!O54</f>
        <v>241713</v>
      </c>
      <c r="Q54" s="53">
        <f>Matusetoetus!N54</f>
        <v>17692</v>
      </c>
      <c r="R54" s="53">
        <f>Asendushooldus!T54</f>
        <v>56452</v>
      </c>
      <c r="S54" s="53">
        <f>'Pikaajaline hooldus'!E54</f>
        <v>160576</v>
      </c>
      <c r="T54" s="53">
        <f>Rahvastikutoimingud!Y54</f>
        <v>246</v>
      </c>
      <c r="U54" s="53">
        <f>'Kohalikud teed'!K54</f>
        <v>237920</v>
      </c>
      <c r="V54" s="53">
        <f>Energiatoetus!W54</f>
        <v>26066</v>
      </c>
      <c r="W54" s="53"/>
      <c r="X54" s="54">
        <f t="shared" si="1"/>
        <v>3134869</v>
      </c>
      <c r="Y54" s="53">
        <f>Asendushooldus!N54</f>
        <v>54945</v>
      </c>
      <c r="Z54" s="53"/>
      <c r="AA54" s="54">
        <f>SUM(Y54:Z54)</f>
        <v>54945</v>
      </c>
    </row>
    <row r="55" spans="1:27" x14ac:dyDescent="0.25">
      <c r="A55" s="48" t="s">
        <v>28</v>
      </c>
      <c r="B55" s="49" t="s">
        <v>265</v>
      </c>
      <c r="C55" s="53">
        <f>Tasandusfond!AE55</f>
        <v>2914611</v>
      </c>
      <c r="D55" s="53">
        <f t="shared" si="0"/>
        <v>4192936</v>
      </c>
      <c r="E55" s="53">
        <f>Üldharidus!AJ55</f>
        <v>3503331</v>
      </c>
      <c r="F55" s="53">
        <f>Üldharidus!AQ55</f>
        <v>175487</v>
      </c>
      <c r="G55" s="53">
        <f>Üldharidus!AR55</f>
        <v>101652</v>
      </c>
      <c r="H55" s="53">
        <f>Üldharidus!AS55</f>
        <v>12797</v>
      </c>
      <c r="I55" s="53">
        <f>Üldharidus!AT55</f>
        <v>58767</v>
      </c>
      <c r="J55" s="53">
        <f>Üldharidus!AU55</f>
        <v>180075</v>
      </c>
      <c r="K55" s="53">
        <f>Üldharidus!AV55</f>
        <v>146124</v>
      </c>
      <c r="L55" s="53">
        <f>Üldharidus!AW55</f>
        <v>14703</v>
      </c>
      <c r="M55" s="53">
        <f>Lasteaed!G55</f>
        <v>188363</v>
      </c>
      <c r="N55" s="53">
        <f>Huvitegevus!U55</f>
        <v>141445</v>
      </c>
      <c r="O55" s="53">
        <f>'Abivajadusega lapsed'!E55</f>
        <v>32191</v>
      </c>
      <c r="P55" s="53">
        <f>Toimetulekutoetus!O55</f>
        <v>146113</v>
      </c>
      <c r="Q55" s="53">
        <f>Matusetoetus!N55</f>
        <v>37712</v>
      </c>
      <c r="R55" s="53">
        <f>Asendushooldus!T55</f>
        <v>99403</v>
      </c>
      <c r="S55" s="53">
        <f>'Pikaajaline hooldus'!E55</f>
        <v>307959</v>
      </c>
      <c r="T55" s="53">
        <f>Rahvastikutoimingud!Y55</f>
        <v>748</v>
      </c>
      <c r="U55" s="53">
        <f>'Kohalikud teed'!K55</f>
        <v>411232</v>
      </c>
      <c r="V55" s="53">
        <f>Energiatoetus!W55</f>
        <v>53550</v>
      </c>
      <c r="W55" s="53">
        <f>'Üleantud teed'!H7</f>
        <v>10532</v>
      </c>
      <c r="X55" s="54">
        <f t="shared" si="1"/>
        <v>8536795</v>
      </c>
      <c r="Y55" s="53"/>
      <c r="Z55" s="53"/>
      <c r="AA55" s="19"/>
    </row>
    <row r="56" spans="1:27" x14ac:dyDescent="0.25">
      <c r="A56" s="48" t="s">
        <v>24</v>
      </c>
      <c r="B56" s="49" t="s">
        <v>249</v>
      </c>
      <c r="C56" s="53">
        <f>Tasandusfond!AE56</f>
        <v>763281</v>
      </c>
      <c r="D56" s="53">
        <f t="shared" si="0"/>
        <v>2155239</v>
      </c>
      <c r="E56" s="53">
        <f>Üldharidus!AJ56</f>
        <v>1818816</v>
      </c>
      <c r="F56" s="53">
        <f>Üldharidus!AQ56</f>
        <v>0</v>
      </c>
      <c r="G56" s="53">
        <f>Üldharidus!AR56</f>
        <v>79313</v>
      </c>
      <c r="H56" s="53">
        <f>Üldharidus!AS56</f>
        <v>8425</v>
      </c>
      <c r="I56" s="53">
        <f>Üldharidus!AT56</f>
        <v>27759</v>
      </c>
      <c r="J56" s="53">
        <f>Üldharidus!AU56</f>
        <v>85225</v>
      </c>
      <c r="K56" s="53">
        <f>Üldharidus!AV56</f>
        <v>128304</v>
      </c>
      <c r="L56" s="53">
        <f>Üldharidus!AW56</f>
        <v>7397</v>
      </c>
      <c r="M56" s="53">
        <f>Lasteaed!G56</f>
        <v>95995</v>
      </c>
      <c r="N56" s="53">
        <f>Huvitegevus!U56</f>
        <v>107928</v>
      </c>
      <c r="O56" s="53">
        <f>'Abivajadusega lapsed'!E56</f>
        <v>10333</v>
      </c>
      <c r="P56" s="53">
        <f>Toimetulekutoetus!O56</f>
        <v>344727</v>
      </c>
      <c r="Q56" s="53">
        <f>Matusetoetus!N56</f>
        <v>17385</v>
      </c>
      <c r="R56" s="53">
        <f>Asendushooldus!T56</f>
        <v>374540</v>
      </c>
      <c r="S56" s="53">
        <f>'Pikaajaline hooldus'!E56</f>
        <v>167986</v>
      </c>
      <c r="T56" s="53">
        <f>Rahvastikutoimingud!Y56</f>
        <v>279</v>
      </c>
      <c r="U56" s="53">
        <f>'Kohalikud teed'!K56</f>
        <v>252268</v>
      </c>
      <c r="V56" s="53">
        <f>Energiatoetus!W56</f>
        <v>18251</v>
      </c>
      <c r="W56" s="53"/>
      <c r="X56" s="54">
        <f t="shared" si="1"/>
        <v>4308212</v>
      </c>
      <c r="Y56" s="53"/>
      <c r="Z56" s="53"/>
      <c r="AA56" s="19"/>
    </row>
    <row r="57" spans="1:27" x14ac:dyDescent="0.25">
      <c r="A57" s="48" t="s">
        <v>24</v>
      </c>
      <c r="B57" s="49" t="s">
        <v>247</v>
      </c>
      <c r="C57" s="53">
        <f>Tasandusfond!AE57</f>
        <v>609899</v>
      </c>
      <c r="D57" s="53">
        <f t="shared" si="0"/>
        <v>2630714</v>
      </c>
      <c r="E57" s="53">
        <f>Üldharidus!AJ57</f>
        <v>1857939</v>
      </c>
      <c r="F57" s="53">
        <f>Üldharidus!AQ57</f>
        <v>378291</v>
      </c>
      <c r="G57" s="53">
        <f>Üldharidus!AR57</f>
        <v>82616</v>
      </c>
      <c r="H57" s="53">
        <f>Üldharidus!AS57</f>
        <v>10776</v>
      </c>
      <c r="I57" s="53">
        <f>Üldharidus!AT57</f>
        <v>51186</v>
      </c>
      <c r="J57" s="53">
        <f>Üldharidus!AU57</f>
        <v>156800</v>
      </c>
      <c r="K57" s="53">
        <f>Üldharidus!AV57</f>
        <v>85536</v>
      </c>
      <c r="L57" s="53">
        <f>Üldharidus!AW57</f>
        <v>7570</v>
      </c>
      <c r="M57" s="53">
        <f>Lasteaed!G57</f>
        <v>116790</v>
      </c>
      <c r="N57" s="53">
        <f>Huvitegevus!U57</f>
        <v>68597</v>
      </c>
      <c r="O57" s="53">
        <f>'Abivajadusega lapsed'!E57</f>
        <v>13910</v>
      </c>
      <c r="P57" s="53">
        <f>Toimetulekutoetus!O57</f>
        <v>94321</v>
      </c>
      <c r="Q57" s="53">
        <f>Matusetoetus!N57</f>
        <v>14436</v>
      </c>
      <c r="R57" s="53">
        <f>Asendushooldus!T57</f>
        <v>307878</v>
      </c>
      <c r="S57" s="53">
        <f>'Pikaajaline hooldus'!E57</f>
        <v>161455</v>
      </c>
      <c r="T57" s="53">
        <f>Rahvastikutoimingud!Y57</f>
        <v>438</v>
      </c>
      <c r="U57" s="53">
        <f>'Kohalikud teed'!K57</f>
        <v>394247</v>
      </c>
      <c r="V57" s="53">
        <f>Energiatoetus!W57</f>
        <v>25198</v>
      </c>
      <c r="W57" s="53"/>
      <c r="X57" s="54">
        <f t="shared" si="1"/>
        <v>4437883</v>
      </c>
      <c r="Y57" s="53"/>
      <c r="Z57" s="53"/>
      <c r="AA57" s="19"/>
    </row>
    <row r="58" spans="1:27" x14ac:dyDescent="0.25">
      <c r="A58" s="48" t="s">
        <v>24</v>
      </c>
      <c r="B58" s="49" t="s">
        <v>243</v>
      </c>
      <c r="C58" s="53">
        <f>Tasandusfond!AE58</f>
        <v>953805</v>
      </c>
      <c r="D58" s="53">
        <f t="shared" si="0"/>
        <v>2857721</v>
      </c>
      <c r="E58" s="53">
        <f>Üldharidus!AJ58</f>
        <v>2195099</v>
      </c>
      <c r="F58" s="53">
        <f>Üldharidus!AQ58</f>
        <v>244627</v>
      </c>
      <c r="G58" s="53">
        <f>Üldharidus!AR58</f>
        <v>85821</v>
      </c>
      <c r="H58" s="53">
        <f>Üldharidus!AS58</f>
        <v>11810</v>
      </c>
      <c r="I58" s="53">
        <f>Üldharidus!AT58</f>
        <v>45999</v>
      </c>
      <c r="J58" s="53">
        <f>Üldharidus!AU58</f>
        <v>140700</v>
      </c>
      <c r="K58" s="53">
        <f>Üldharidus!AV58</f>
        <v>124740</v>
      </c>
      <c r="L58" s="53">
        <f>Üldharidus!AW58</f>
        <v>8925</v>
      </c>
      <c r="M58" s="53">
        <f>Lasteaed!G58</f>
        <v>116404</v>
      </c>
      <c r="N58" s="53">
        <f>Huvitegevus!U58</f>
        <v>113428</v>
      </c>
      <c r="O58" s="53">
        <f>'Abivajadusega lapsed'!E58</f>
        <v>11128</v>
      </c>
      <c r="P58" s="53">
        <f>Toimetulekutoetus!O58</f>
        <v>272917</v>
      </c>
      <c r="Q58" s="53">
        <f>Matusetoetus!N58</f>
        <v>27642</v>
      </c>
      <c r="R58" s="53">
        <f>Asendushooldus!T58</f>
        <v>343405</v>
      </c>
      <c r="S58" s="53">
        <f>'Pikaajaline hooldus'!E58</f>
        <v>240312</v>
      </c>
      <c r="T58" s="53">
        <f>Rahvastikutoimingud!Y58</f>
        <v>465</v>
      </c>
      <c r="U58" s="53">
        <f>'Kohalikud teed'!K58</f>
        <v>480231</v>
      </c>
      <c r="V58" s="53">
        <f>Energiatoetus!W58</f>
        <v>74321</v>
      </c>
      <c r="W58" s="53"/>
      <c r="X58" s="54">
        <f t="shared" si="1"/>
        <v>5491779</v>
      </c>
      <c r="Y58" s="53"/>
      <c r="Z58" s="53"/>
      <c r="AA58" s="19"/>
    </row>
    <row r="59" spans="1:27" x14ac:dyDescent="0.25">
      <c r="A59" s="48" t="s">
        <v>24</v>
      </c>
      <c r="B59" s="49" t="s">
        <v>239</v>
      </c>
      <c r="C59" s="53">
        <f>Tasandusfond!AE59</f>
        <v>999704</v>
      </c>
      <c r="D59" s="53">
        <f t="shared" si="0"/>
        <v>5319135</v>
      </c>
      <c r="E59" s="53">
        <f>Üldharidus!AJ59</f>
        <v>4447393</v>
      </c>
      <c r="F59" s="53">
        <f>Üldharidus!AQ59</f>
        <v>0</v>
      </c>
      <c r="G59" s="53">
        <f>Üldharidus!AR59</f>
        <v>192391</v>
      </c>
      <c r="H59" s="53">
        <f>Üldharidus!AS59</f>
        <v>24357</v>
      </c>
      <c r="I59" s="53">
        <f>Üldharidus!AT59</f>
        <v>81624</v>
      </c>
      <c r="J59" s="53">
        <f>Üldharidus!AU59</f>
        <v>250250</v>
      </c>
      <c r="K59" s="53">
        <f>Üldharidus!AV59</f>
        <v>305316</v>
      </c>
      <c r="L59" s="53">
        <f>Üldharidus!AW59</f>
        <v>17804</v>
      </c>
      <c r="M59" s="53">
        <f>Lasteaed!G59</f>
        <v>164477</v>
      </c>
      <c r="N59" s="53">
        <f>Huvitegevus!U59</f>
        <v>163750</v>
      </c>
      <c r="O59" s="53">
        <f>'Abivajadusega lapsed'!E59</f>
        <v>33781</v>
      </c>
      <c r="P59" s="53">
        <f>Toimetulekutoetus!O59</f>
        <v>394502</v>
      </c>
      <c r="Q59" s="53">
        <f>Matusetoetus!N59</f>
        <v>42419</v>
      </c>
      <c r="R59" s="53">
        <f>Asendushooldus!T59</f>
        <v>124353</v>
      </c>
      <c r="S59" s="53">
        <f>'Pikaajaline hooldus'!E59</f>
        <v>394357</v>
      </c>
      <c r="T59" s="53">
        <f>Rahvastikutoimingud!Y59</f>
        <v>34203</v>
      </c>
      <c r="U59" s="53">
        <f>'Kohalikud teed'!K59</f>
        <v>392531</v>
      </c>
      <c r="V59" s="53">
        <f>Energiatoetus!W59</f>
        <v>82577</v>
      </c>
      <c r="W59" s="53"/>
      <c r="X59" s="54">
        <f t="shared" si="1"/>
        <v>8145789</v>
      </c>
      <c r="Y59" s="53"/>
      <c r="Z59" s="53"/>
      <c r="AA59" s="19"/>
    </row>
    <row r="60" spans="1:27" x14ac:dyDescent="0.25">
      <c r="A60" s="48" t="s">
        <v>20</v>
      </c>
      <c r="B60" s="49" t="s">
        <v>225</v>
      </c>
      <c r="C60" s="53">
        <f>Tasandusfond!AE60</f>
        <v>21818</v>
      </c>
      <c r="D60" s="53">
        <f t="shared" si="0"/>
        <v>602791</v>
      </c>
      <c r="E60" s="53">
        <f>Üldharidus!AJ60</f>
        <v>521170</v>
      </c>
      <c r="F60" s="53">
        <f>Üldharidus!AQ60</f>
        <v>0</v>
      </c>
      <c r="G60" s="53">
        <f>Üldharidus!AR60</f>
        <v>20807</v>
      </c>
      <c r="H60" s="53">
        <f>Üldharidus!AS60</f>
        <v>2194</v>
      </c>
      <c r="I60" s="53">
        <f>Üldharidus!AT60</f>
        <v>6612</v>
      </c>
      <c r="J60" s="53">
        <f>Üldharidus!AU60</f>
        <v>20125</v>
      </c>
      <c r="K60" s="53">
        <f>Üldharidus!AV60</f>
        <v>29700</v>
      </c>
      <c r="L60" s="53">
        <f>Üldharidus!AW60</f>
        <v>2183</v>
      </c>
      <c r="M60" s="53">
        <f>Lasteaed!G60</f>
        <v>15530</v>
      </c>
      <c r="N60" s="53">
        <f>Huvitegevus!U60</f>
        <v>18666</v>
      </c>
      <c r="O60" s="53">
        <f>'Abivajadusega lapsed'!E60</f>
        <v>795</v>
      </c>
      <c r="P60" s="53">
        <f>Toimetulekutoetus!O60</f>
        <v>7448</v>
      </c>
      <c r="Q60" s="53">
        <f>Matusetoetus!N60</f>
        <v>7967</v>
      </c>
      <c r="R60" s="53">
        <f>Asendushooldus!T60</f>
        <v>21978</v>
      </c>
      <c r="S60" s="53">
        <f>'Pikaajaline hooldus'!E60</f>
        <v>79567</v>
      </c>
      <c r="T60" s="53">
        <f>Rahvastikutoimingud!Y60</f>
        <v>145</v>
      </c>
      <c r="U60" s="53">
        <f>'Kohalikud teed'!K60</f>
        <v>91282</v>
      </c>
      <c r="V60" s="53">
        <f>Energiatoetus!W60</f>
        <v>249</v>
      </c>
      <c r="W60" s="53"/>
      <c r="X60" s="54">
        <f t="shared" si="1"/>
        <v>868236</v>
      </c>
      <c r="Y60" s="53"/>
      <c r="Z60" s="53"/>
      <c r="AA60" s="19"/>
    </row>
    <row r="61" spans="1:27" x14ac:dyDescent="0.25">
      <c r="A61" s="50" t="s">
        <v>20</v>
      </c>
      <c r="B61" s="49" t="s">
        <v>215</v>
      </c>
      <c r="C61" s="53">
        <f>Tasandusfond!AE61</f>
        <v>99293</v>
      </c>
      <c r="D61" s="53">
        <f t="shared" si="0"/>
        <v>153397</v>
      </c>
      <c r="E61" s="53">
        <f>Üldharidus!AJ61</f>
        <v>144685</v>
      </c>
      <c r="F61" s="53">
        <f>Üldharidus!AQ61</f>
        <v>0</v>
      </c>
      <c r="G61" s="53">
        <f>Üldharidus!AR61</f>
        <v>6209</v>
      </c>
      <c r="H61" s="53">
        <f>Üldharidus!AS61</f>
        <v>414</v>
      </c>
      <c r="I61" s="53">
        <f>Üldharidus!AT61</f>
        <v>513</v>
      </c>
      <c r="J61" s="53">
        <f>Üldharidus!AU61</f>
        <v>1400</v>
      </c>
      <c r="K61" s="53">
        <f>Üldharidus!AV61</f>
        <v>0</v>
      </c>
      <c r="L61" s="53">
        <f>Üldharidus!AW61</f>
        <v>176</v>
      </c>
      <c r="M61" s="53">
        <f>Lasteaed!G61</f>
        <v>0</v>
      </c>
      <c r="N61" s="53">
        <f>Huvitegevus!U61</f>
        <v>1243</v>
      </c>
      <c r="O61" s="53">
        <f>'Abivajadusega lapsed'!E61</f>
        <v>0</v>
      </c>
      <c r="P61" s="53">
        <f>Toimetulekutoetus!O61</f>
        <v>0</v>
      </c>
      <c r="Q61" s="53">
        <f>Matusetoetus!N61</f>
        <v>474</v>
      </c>
      <c r="R61" s="53">
        <f>Asendushooldus!T61</f>
        <v>0</v>
      </c>
      <c r="S61" s="53">
        <f>'Pikaajaline hooldus'!E61</f>
        <v>4341</v>
      </c>
      <c r="T61" s="53">
        <f>Rahvastikutoimingud!Y61</f>
        <v>0</v>
      </c>
      <c r="U61" s="53">
        <f>'Kohalikud teed'!K61</f>
        <v>1180</v>
      </c>
      <c r="V61" s="53">
        <f>Energiatoetus!W61</f>
        <v>855</v>
      </c>
      <c r="W61" s="53"/>
      <c r="X61" s="54">
        <f t="shared" si="1"/>
        <v>260783</v>
      </c>
      <c r="Y61" s="53"/>
      <c r="Z61" s="53"/>
      <c r="AA61" s="19"/>
    </row>
    <row r="62" spans="1:27" x14ac:dyDescent="0.25">
      <c r="A62" s="50" t="s">
        <v>20</v>
      </c>
      <c r="B62" s="49" t="s">
        <v>597</v>
      </c>
      <c r="C62" s="53">
        <f>Tasandusfond!AE62</f>
        <v>2807936</v>
      </c>
      <c r="D62" s="53">
        <f t="shared" si="0"/>
        <v>11589736</v>
      </c>
      <c r="E62" s="53">
        <f>Üldharidus!AJ62</f>
        <v>9122885</v>
      </c>
      <c r="F62" s="53">
        <f>Üldharidus!AQ62</f>
        <v>524984</v>
      </c>
      <c r="G62" s="53">
        <f>Üldharidus!AR62</f>
        <v>373829</v>
      </c>
      <c r="H62" s="53">
        <f>Üldharidus!AS62</f>
        <v>46626</v>
      </c>
      <c r="I62" s="53">
        <f>Üldharidus!AT62</f>
        <v>182001</v>
      </c>
      <c r="J62" s="53">
        <f>Üldharidus!AU62</f>
        <v>513975</v>
      </c>
      <c r="K62" s="53">
        <f>Üldharidus!AV62</f>
        <v>790020</v>
      </c>
      <c r="L62" s="53">
        <f>Üldharidus!AW62</f>
        <v>35416</v>
      </c>
      <c r="M62" s="53">
        <f>Lasteaed!G62</f>
        <v>505497</v>
      </c>
      <c r="N62" s="53">
        <f>Huvitegevus!U62</f>
        <v>359316</v>
      </c>
      <c r="O62" s="53">
        <f>'Abivajadusega lapsed'!E62</f>
        <v>59613</v>
      </c>
      <c r="P62" s="53">
        <f>Toimetulekutoetus!O62</f>
        <v>524672</v>
      </c>
      <c r="Q62" s="53">
        <f>Matusetoetus!N62</f>
        <v>108152</v>
      </c>
      <c r="R62" s="53">
        <f>Asendushooldus!T62</f>
        <v>292123</v>
      </c>
      <c r="S62" s="53">
        <f>'Pikaajaline hooldus'!E62</f>
        <v>983553</v>
      </c>
      <c r="T62" s="53">
        <f>Rahvastikutoimingud!Y62</f>
        <v>23377</v>
      </c>
      <c r="U62" s="53">
        <f>'Kohalikud teed'!K62</f>
        <v>1246278</v>
      </c>
      <c r="V62" s="53">
        <f>Energiatoetus!W62</f>
        <v>145870</v>
      </c>
      <c r="W62" s="53"/>
      <c r="X62" s="54">
        <f t="shared" si="1"/>
        <v>18646123</v>
      </c>
      <c r="Y62" s="53"/>
      <c r="Z62" s="53"/>
      <c r="AA62" s="19"/>
    </row>
    <row r="63" spans="1:27" x14ac:dyDescent="0.25">
      <c r="A63" s="48" t="s">
        <v>13</v>
      </c>
      <c r="B63" s="49" t="s">
        <v>598</v>
      </c>
      <c r="C63" s="53">
        <f>Tasandusfond!AE63</f>
        <v>2882626</v>
      </c>
      <c r="D63" s="53">
        <f t="shared" si="0"/>
        <v>5996168</v>
      </c>
      <c r="E63" s="53">
        <f>Üldharidus!AJ63</f>
        <v>4563963</v>
      </c>
      <c r="F63" s="53">
        <f>Üldharidus!AQ63</f>
        <v>545816</v>
      </c>
      <c r="G63" s="53">
        <f>Üldharidus!AR63</f>
        <v>175607</v>
      </c>
      <c r="H63" s="53">
        <f>Üldharidus!AS63</f>
        <v>21705</v>
      </c>
      <c r="I63" s="53">
        <f>Üldharidus!AT63</f>
        <v>99294</v>
      </c>
      <c r="J63" s="53">
        <f>Üldharidus!AU63</f>
        <v>294875</v>
      </c>
      <c r="K63" s="53">
        <f>Üldharidus!AV63</f>
        <v>276448</v>
      </c>
      <c r="L63" s="53">
        <f>Üldharidus!AW63</f>
        <v>18460</v>
      </c>
      <c r="M63" s="53">
        <f>Lasteaed!G63</f>
        <v>271482</v>
      </c>
      <c r="N63" s="53">
        <f>Huvitegevus!U63</f>
        <v>179330</v>
      </c>
      <c r="O63" s="53">
        <f>'Abivajadusega lapsed'!E63</f>
        <v>40139</v>
      </c>
      <c r="P63" s="53">
        <f>Toimetulekutoetus!O63</f>
        <v>190571</v>
      </c>
      <c r="Q63" s="53">
        <f>Matusetoetus!N63</f>
        <v>50308</v>
      </c>
      <c r="R63" s="53">
        <f>Asendushooldus!T63</f>
        <v>375456</v>
      </c>
      <c r="S63" s="53">
        <f>'Pikaajaline hooldus'!E63</f>
        <v>474373</v>
      </c>
      <c r="T63" s="53">
        <f>Rahvastikutoimingud!Y63</f>
        <v>778</v>
      </c>
      <c r="U63" s="53">
        <f>'Kohalikud teed'!K63</f>
        <v>614886</v>
      </c>
      <c r="V63" s="53">
        <f>Energiatoetus!W63</f>
        <v>78779</v>
      </c>
      <c r="W63" s="53"/>
      <c r="X63" s="54">
        <f t="shared" si="1"/>
        <v>11154896</v>
      </c>
      <c r="Y63" s="53"/>
      <c r="Z63" s="53"/>
      <c r="AA63" s="19"/>
    </row>
    <row r="64" spans="1:27" x14ac:dyDescent="0.25">
      <c r="A64" s="48" t="s">
        <v>13</v>
      </c>
      <c r="B64" s="49" t="s">
        <v>198</v>
      </c>
      <c r="C64" s="53">
        <f>Tasandusfond!AE64</f>
        <v>1373780</v>
      </c>
      <c r="D64" s="53">
        <f t="shared" si="0"/>
        <v>4663762</v>
      </c>
      <c r="E64" s="53">
        <f>Üldharidus!AJ64</f>
        <v>3605402</v>
      </c>
      <c r="F64" s="53">
        <f>Üldharidus!AQ64</f>
        <v>461578</v>
      </c>
      <c r="G64" s="53">
        <f>Üldharidus!AR64</f>
        <v>143612</v>
      </c>
      <c r="H64" s="53">
        <f>Üldharidus!AS64</f>
        <v>18732</v>
      </c>
      <c r="I64" s="53">
        <f>Üldharidus!AT64</f>
        <v>88977</v>
      </c>
      <c r="J64" s="53">
        <f>Üldharidus!AU64</f>
        <v>273000</v>
      </c>
      <c r="K64" s="53">
        <f>Üldharidus!AV64</f>
        <v>57024</v>
      </c>
      <c r="L64" s="53">
        <f>Üldharidus!AW64</f>
        <v>15437</v>
      </c>
      <c r="M64" s="53">
        <f>Lasteaed!G64</f>
        <v>109860</v>
      </c>
      <c r="N64" s="53">
        <f>Huvitegevus!U64</f>
        <v>112068</v>
      </c>
      <c r="O64" s="53">
        <f>'Abivajadusega lapsed'!E64</f>
        <v>21063</v>
      </c>
      <c r="P64" s="53">
        <f>Toimetulekutoetus!O64</f>
        <v>127301</v>
      </c>
      <c r="Q64" s="53">
        <f>Matusetoetus!N64</f>
        <v>19582</v>
      </c>
      <c r="R64" s="53">
        <f>Asendushooldus!T64</f>
        <v>51282</v>
      </c>
      <c r="S64" s="53">
        <f>'Pikaajaline hooldus'!E64</f>
        <v>207396</v>
      </c>
      <c r="T64" s="53">
        <f>Rahvastikutoimingud!Y64</f>
        <v>800</v>
      </c>
      <c r="U64" s="53">
        <f>'Kohalikud teed'!K64</f>
        <v>392113</v>
      </c>
      <c r="V64" s="53">
        <f>Energiatoetus!W64</f>
        <v>95404</v>
      </c>
      <c r="W64" s="53"/>
      <c r="X64" s="54">
        <f t="shared" si="1"/>
        <v>7174411</v>
      </c>
      <c r="Y64" s="53"/>
      <c r="Z64" s="53"/>
      <c r="AA64" s="19"/>
    </row>
    <row r="65" spans="1:27" x14ac:dyDescent="0.25">
      <c r="A65" s="48" t="s">
        <v>13</v>
      </c>
      <c r="B65" s="49" t="s">
        <v>599</v>
      </c>
      <c r="C65" s="53">
        <f>Tasandusfond!AE65</f>
        <v>1597415</v>
      </c>
      <c r="D65" s="53">
        <f t="shared" si="0"/>
        <v>2155955</v>
      </c>
      <c r="E65" s="53">
        <f>Üldharidus!AJ65</f>
        <v>1812644</v>
      </c>
      <c r="F65" s="53">
        <f>Üldharidus!AQ65</f>
        <v>125102</v>
      </c>
      <c r="G65" s="53">
        <f>Üldharidus!AR65</f>
        <v>45469</v>
      </c>
      <c r="H65" s="53">
        <f>Üldharidus!AS65</f>
        <v>5892</v>
      </c>
      <c r="I65" s="53">
        <f>Üldharidus!AT65</f>
        <v>27987</v>
      </c>
      <c r="J65" s="53">
        <f>Üldharidus!AU65</f>
        <v>85925</v>
      </c>
      <c r="K65" s="53">
        <f>Üldharidus!AV65</f>
        <v>45144</v>
      </c>
      <c r="L65" s="53">
        <f>Üldharidus!AW65</f>
        <v>7792</v>
      </c>
      <c r="M65" s="53">
        <f>Lasteaed!G65</f>
        <v>68803</v>
      </c>
      <c r="N65" s="53">
        <f>Huvitegevus!U65</f>
        <v>81867</v>
      </c>
      <c r="O65" s="53">
        <f>'Abivajadusega lapsed'!E65</f>
        <v>15499</v>
      </c>
      <c r="P65" s="53">
        <f>Toimetulekutoetus!O65</f>
        <v>62042</v>
      </c>
      <c r="Q65" s="53">
        <f>Matusetoetus!N65</f>
        <v>15538</v>
      </c>
      <c r="R65" s="53">
        <f>Asendushooldus!T65</f>
        <v>95098</v>
      </c>
      <c r="S65" s="53">
        <f>'Pikaajaline hooldus'!E65</f>
        <v>132787</v>
      </c>
      <c r="T65" s="53">
        <f>Rahvastikutoimingud!Y65</f>
        <v>476</v>
      </c>
      <c r="U65" s="53">
        <f>'Kohalikud teed'!K65</f>
        <v>167405</v>
      </c>
      <c r="V65" s="53">
        <f>Energiatoetus!W65</f>
        <v>62883</v>
      </c>
      <c r="W65" s="53"/>
      <c r="X65" s="54">
        <f t="shared" si="1"/>
        <v>4455768</v>
      </c>
      <c r="Y65" s="53"/>
      <c r="Z65" s="53"/>
      <c r="AA65" s="19"/>
    </row>
    <row r="66" spans="1:27" x14ac:dyDescent="0.25">
      <c r="A66" s="48" t="s">
        <v>13</v>
      </c>
      <c r="B66" s="49" t="s">
        <v>192</v>
      </c>
      <c r="C66" s="53">
        <f>Tasandusfond!AE66</f>
        <v>681753</v>
      </c>
      <c r="D66" s="53">
        <f t="shared" si="0"/>
        <v>1801097</v>
      </c>
      <c r="E66" s="53">
        <f>Üldharidus!AJ66</f>
        <v>1350250</v>
      </c>
      <c r="F66" s="53">
        <f>Üldharidus!AQ66</f>
        <v>226779</v>
      </c>
      <c r="G66" s="53">
        <f>Üldharidus!AR66</f>
        <v>45816</v>
      </c>
      <c r="H66" s="53">
        <f>Üldharidus!AS66</f>
        <v>5976</v>
      </c>
      <c r="I66" s="53">
        <f>Üldharidus!AT66</f>
        <v>28386</v>
      </c>
      <c r="J66" s="53">
        <f>Üldharidus!AU66</f>
        <v>87150</v>
      </c>
      <c r="K66" s="53">
        <f>Üldharidus!AV66</f>
        <v>51084</v>
      </c>
      <c r="L66" s="53">
        <f>Üldharidus!AW66</f>
        <v>5656</v>
      </c>
      <c r="M66" s="53">
        <f>Lasteaed!G66</f>
        <v>65712</v>
      </c>
      <c r="N66" s="53">
        <f>Huvitegevus!U66</f>
        <v>63592</v>
      </c>
      <c r="O66" s="53">
        <f>'Abivajadusega lapsed'!E66</f>
        <v>10333</v>
      </c>
      <c r="P66" s="53">
        <f>Toimetulekutoetus!O66</f>
        <v>17655</v>
      </c>
      <c r="Q66" s="53">
        <f>Matusetoetus!N66</f>
        <v>9969</v>
      </c>
      <c r="R66" s="53">
        <f>Asendushooldus!T66</f>
        <v>21062</v>
      </c>
      <c r="S66" s="53">
        <f>'Pikaajaline hooldus'!E66</f>
        <v>87408</v>
      </c>
      <c r="T66" s="53">
        <f>Rahvastikutoimingud!Y66</f>
        <v>393</v>
      </c>
      <c r="U66" s="53">
        <f>'Kohalikud teed'!K66</f>
        <v>65740</v>
      </c>
      <c r="V66" s="53">
        <f>Energiatoetus!W66</f>
        <v>14345</v>
      </c>
      <c r="W66" s="53"/>
      <c r="X66" s="54">
        <f t="shared" si="1"/>
        <v>2839059</v>
      </c>
      <c r="Y66" s="53"/>
      <c r="Z66" s="53"/>
      <c r="AA66" s="19"/>
    </row>
    <row r="67" spans="1:27" x14ac:dyDescent="0.25">
      <c r="A67" s="48" t="s">
        <v>13</v>
      </c>
      <c r="B67" s="49" t="s">
        <v>186</v>
      </c>
      <c r="C67" s="53">
        <f>Tasandusfond!AE67</f>
        <v>631146</v>
      </c>
      <c r="D67" s="53">
        <f t="shared" si="0"/>
        <v>1467497</v>
      </c>
      <c r="E67" s="53">
        <f>Üldharidus!AJ67</f>
        <v>1254525</v>
      </c>
      <c r="F67" s="53">
        <f>Üldharidus!AQ67</f>
        <v>0</v>
      </c>
      <c r="G67" s="53">
        <f>Üldharidus!AR67</f>
        <v>44528</v>
      </c>
      <c r="H67" s="53">
        <f>Üldharidus!AS67</f>
        <v>5808</v>
      </c>
      <c r="I67" s="53">
        <f>Üldharidus!AT67</f>
        <v>27588</v>
      </c>
      <c r="J67" s="53">
        <f>Üldharidus!AU67</f>
        <v>84700</v>
      </c>
      <c r="K67" s="53">
        <f>Üldharidus!AV67</f>
        <v>45144</v>
      </c>
      <c r="L67" s="53">
        <f>Üldharidus!AW67</f>
        <v>5204</v>
      </c>
      <c r="M67" s="53">
        <f>Lasteaed!G67</f>
        <v>57474</v>
      </c>
      <c r="N67" s="53">
        <f>Huvitegevus!U67</f>
        <v>57457</v>
      </c>
      <c r="O67" s="53">
        <f>'Abivajadusega lapsed'!E67</f>
        <v>13115</v>
      </c>
      <c r="P67" s="53">
        <f>Toimetulekutoetus!O67</f>
        <v>19042</v>
      </c>
      <c r="Q67" s="53">
        <f>Matusetoetus!N67</f>
        <v>12658</v>
      </c>
      <c r="R67" s="53">
        <f>Asendushooldus!T67</f>
        <v>108974</v>
      </c>
      <c r="S67" s="53">
        <f>'Pikaajaline hooldus'!E67</f>
        <v>102397</v>
      </c>
      <c r="T67" s="53">
        <f>Rahvastikutoimingud!Y67</f>
        <v>205</v>
      </c>
      <c r="U67" s="53">
        <f>'Kohalikud teed'!K67</f>
        <v>164954</v>
      </c>
      <c r="V67" s="53">
        <f>Energiatoetus!W67</f>
        <v>13025</v>
      </c>
      <c r="W67" s="53"/>
      <c r="X67" s="54">
        <f t="shared" si="1"/>
        <v>2647944</v>
      </c>
      <c r="Y67" s="53"/>
      <c r="Z67" s="53"/>
      <c r="AA67" s="19"/>
    </row>
    <row r="68" spans="1:27" x14ac:dyDescent="0.25">
      <c r="A68" s="48" t="s">
        <v>13</v>
      </c>
      <c r="B68" s="49" t="s">
        <v>184</v>
      </c>
      <c r="C68" s="53">
        <f>Tasandusfond!AE68</f>
        <v>1075363</v>
      </c>
      <c r="D68" s="53">
        <f t="shared" si="0"/>
        <v>1701424</v>
      </c>
      <c r="E68" s="53">
        <f>Üldharidus!AJ68</f>
        <v>1437123</v>
      </c>
      <c r="F68" s="53">
        <f>Üldharidus!AQ68</f>
        <v>0</v>
      </c>
      <c r="G68" s="53">
        <f>Üldharidus!AR68</f>
        <v>100120</v>
      </c>
      <c r="H68" s="53">
        <f>Üldharidus!AS68</f>
        <v>10304</v>
      </c>
      <c r="I68" s="53">
        <f>Üldharidus!AT68</f>
        <v>21432</v>
      </c>
      <c r="J68" s="53">
        <f>Üldharidus!AU68</f>
        <v>65800</v>
      </c>
      <c r="K68" s="53">
        <f>Üldharidus!AV68</f>
        <v>60588</v>
      </c>
      <c r="L68" s="53">
        <f>Üldharidus!AW68</f>
        <v>6057</v>
      </c>
      <c r="M68" s="53">
        <f>Lasteaed!G68</f>
        <v>87312</v>
      </c>
      <c r="N68" s="53">
        <f>Huvitegevus!U68</f>
        <v>78359</v>
      </c>
      <c r="O68" s="53">
        <f>'Abivajadusega lapsed'!E68</f>
        <v>3974</v>
      </c>
      <c r="P68" s="53">
        <f>Toimetulekutoetus!O68</f>
        <v>63381</v>
      </c>
      <c r="Q68" s="53">
        <f>Matusetoetus!N68</f>
        <v>20736</v>
      </c>
      <c r="R68" s="53">
        <f>Asendushooldus!T68</f>
        <v>112005</v>
      </c>
      <c r="S68" s="53">
        <f>'Pikaajaline hooldus'!E68</f>
        <v>198432</v>
      </c>
      <c r="T68" s="53">
        <f>Rahvastikutoimingud!Y68</f>
        <v>213</v>
      </c>
      <c r="U68" s="53">
        <f>'Kohalikud teed'!K68</f>
        <v>277194</v>
      </c>
      <c r="V68" s="53">
        <f>Energiatoetus!W68</f>
        <v>3468</v>
      </c>
      <c r="W68" s="53"/>
      <c r="X68" s="54">
        <f t="shared" si="1"/>
        <v>3621861</v>
      </c>
      <c r="Y68" s="53"/>
      <c r="Z68" s="53"/>
      <c r="AA68" s="19"/>
    </row>
    <row r="69" spans="1:27" x14ac:dyDescent="0.25">
      <c r="A69" s="48" t="s">
        <v>13</v>
      </c>
      <c r="B69" s="49" t="s">
        <v>174</v>
      </c>
      <c r="C69" s="53">
        <f>Tasandusfond!AE69</f>
        <v>2502997</v>
      </c>
      <c r="D69" s="53">
        <f t="shared" ref="D69:D82" si="2">SUM(E69:L69)</f>
        <v>4799298</v>
      </c>
      <c r="E69" s="53">
        <f>Üldharidus!AJ69</f>
        <v>3828026</v>
      </c>
      <c r="F69" s="53">
        <f>Üldharidus!AQ69</f>
        <v>376038</v>
      </c>
      <c r="G69" s="53">
        <f>Üldharidus!AR69</f>
        <v>127696</v>
      </c>
      <c r="H69" s="53">
        <f>Üldharidus!AS69</f>
        <v>16656</v>
      </c>
      <c r="I69" s="53">
        <f>Üldharidus!AT69</f>
        <v>79116</v>
      </c>
      <c r="J69" s="53">
        <f>Üldharidus!AU69</f>
        <v>242725</v>
      </c>
      <c r="K69" s="53">
        <f>Üldharidus!AV69</f>
        <v>112860</v>
      </c>
      <c r="L69" s="53">
        <f>Üldharidus!AW69</f>
        <v>16181</v>
      </c>
      <c r="M69" s="53">
        <f>Lasteaed!G69</f>
        <v>185356</v>
      </c>
      <c r="N69" s="53">
        <f>Huvitegevus!U69</f>
        <v>134298</v>
      </c>
      <c r="O69" s="53">
        <f>'Abivajadusega lapsed'!E69</f>
        <v>25435</v>
      </c>
      <c r="P69" s="53">
        <f>Toimetulekutoetus!O69</f>
        <v>150246</v>
      </c>
      <c r="Q69" s="53">
        <f>Matusetoetus!N69</f>
        <v>22523</v>
      </c>
      <c r="R69" s="53">
        <f>Asendushooldus!T69</f>
        <v>0</v>
      </c>
      <c r="S69" s="53">
        <f>'Pikaajaline hooldus'!E69</f>
        <v>233500</v>
      </c>
      <c r="T69" s="53">
        <f>Rahvastikutoimingud!Y69</f>
        <v>840</v>
      </c>
      <c r="U69" s="53">
        <f>'Kohalikud teed'!K69</f>
        <v>453842</v>
      </c>
      <c r="V69" s="53">
        <f>Energiatoetus!W69</f>
        <v>762</v>
      </c>
      <c r="W69" s="53"/>
      <c r="X69" s="54">
        <f t="shared" ref="X69:X85" si="3">SUM(M69:W69)+C69+D69</f>
        <v>8509097</v>
      </c>
      <c r="Y69" s="53"/>
      <c r="Z69" s="53"/>
      <c r="AA69" s="19"/>
    </row>
    <row r="70" spans="1:27" x14ac:dyDescent="0.25">
      <c r="A70" s="48" t="s">
        <v>13</v>
      </c>
      <c r="B70" s="49" t="s">
        <v>15</v>
      </c>
      <c r="C70" s="53">
        <f>Tasandusfond!AE70</f>
        <v>393668</v>
      </c>
      <c r="D70" s="53">
        <f t="shared" si="2"/>
        <v>40713126</v>
      </c>
      <c r="E70" s="53">
        <f>Üldharidus!AJ70</f>
        <v>26626820</v>
      </c>
      <c r="F70" s="53">
        <f>Üldharidus!AQ70</f>
        <v>6593668</v>
      </c>
      <c r="G70" s="53">
        <f>Üldharidus!AR70</f>
        <v>1207224</v>
      </c>
      <c r="H70" s="53">
        <f>Üldharidus!AS70</f>
        <v>157464</v>
      </c>
      <c r="I70" s="53">
        <f>Üldharidus!AT70</f>
        <v>747270</v>
      </c>
      <c r="J70" s="53">
        <f>Üldharidus!AU70</f>
        <v>2187850</v>
      </c>
      <c r="K70" s="53">
        <f>Üldharidus!AV70</f>
        <v>3095215</v>
      </c>
      <c r="L70" s="53">
        <f>Üldharidus!AW70</f>
        <v>97615</v>
      </c>
      <c r="M70" s="53">
        <f>Lasteaed!G70</f>
        <v>1356930</v>
      </c>
      <c r="N70" s="53">
        <f>Huvitegevus!U70</f>
        <v>403250</v>
      </c>
      <c r="O70" s="53">
        <f>'Abivajadusega lapsed'!E70</f>
        <v>246798</v>
      </c>
      <c r="P70" s="53">
        <f>Toimetulekutoetus!O70</f>
        <v>2608097</v>
      </c>
      <c r="Q70" s="53">
        <f>Matusetoetus!N70</f>
        <v>255131</v>
      </c>
      <c r="R70" s="53">
        <f>Asendushooldus!T70</f>
        <v>1651091</v>
      </c>
      <c r="S70" s="53">
        <f>'Pikaajaline hooldus'!E70</f>
        <v>2790756</v>
      </c>
      <c r="T70" s="53">
        <f>Rahvastikutoimingud!Y70</f>
        <v>144748</v>
      </c>
      <c r="U70" s="53">
        <f>'Kohalikud teed'!K70</f>
        <v>1270127</v>
      </c>
      <c r="V70" s="53">
        <f>Energiatoetus!W70</f>
        <v>491199</v>
      </c>
      <c r="W70" s="53"/>
      <c r="X70" s="54">
        <f t="shared" si="3"/>
        <v>52324921</v>
      </c>
      <c r="Y70" s="53"/>
      <c r="Z70" s="53"/>
      <c r="AA70" s="19"/>
    </row>
    <row r="71" spans="1:27" x14ac:dyDescent="0.25">
      <c r="A71" s="48" t="s">
        <v>10</v>
      </c>
      <c r="B71" s="49" t="s">
        <v>154</v>
      </c>
      <c r="C71" s="53">
        <f>Tasandusfond!AE71</f>
        <v>1062870</v>
      </c>
      <c r="D71" s="53">
        <f t="shared" si="2"/>
        <v>2812910</v>
      </c>
      <c r="E71" s="53">
        <f>Üldharidus!AJ71</f>
        <v>2208317</v>
      </c>
      <c r="F71" s="53">
        <f>Üldharidus!AQ71</f>
        <v>211484</v>
      </c>
      <c r="G71" s="53">
        <f>Üldharidus!AR71</f>
        <v>99835</v>
      </c>
      <c r="H71" s="53">
        <f>Üldharidus!AS71</f>
        <v>11950</v>
      </c>
      <c r="I71" s="53">
        <f>Üldharidus!AT71</f>
        <v>40299</v>
      </c>
      <c r="J71" s="53">
        <f>Üldharidus!AU71</f>
        <v>123725</v>
      </c>
      <c r="K71" s="53">
        <f>Üldharidus!AV71</f>
        <v>108108</v>
      </c>
      <c r="L71" s="53">
        <f>Üldharidus!AW71</f>
        <v>9192</v>
      </c>
      <c r="M71" s="53">
        <f>Lasteaed!G71</f>
        <v>44458</v>
      </c>
      <c r="N71" s="53">
        <f>Huvitegevus!U71</f>
        <v>129884</v>
      </c>
      <c r="O71" s="53">
        <f>'Abivajadusega lapsed'!E71</f>
        <v>9538</v>
      </c>
      <c r="P71" s="53">
        <f>Toimetulekutoetus!O71</f>
        <v>166541</v>
      </c>
      <c r="Q71" s="53">
        <f>Matusetoetus!N71</f>
        <v>20543</v>
      </c>
      <c r="R71" s="53">
        <f>Asendushooldus!T71</f>
        <v>211537</v>
      </c>
      <c r="S71" s="53">
        <f>'Pikaajaline hooldus'!E71</f>
        <v>210296</v>
      </c>
      <c r="T71" s="53">
        <f>Rahvastikutoimingud!Y71</f>
        <v>514</v>
      </c>
      <c r="U71" s="53">
        <f>'Kohalikud teed'!K71</f>
        <v>229166</v>
      </c>
      <c r="V71" s="53">
        <f>Energiatoetus!W71</f>
        <v>43426</v>
      </c>
      <c r="W71" s="53"/>
      <c r="X71" s="54">
        <f t="shared" si="3"/>
        <v>4941683</v>
      </c>
      <c r="Y71" s="53"/>
      <c r="Z71" s="53"/>
      <c r="AA71" s="19"/>
    </row>
    <row r="72" spans="1:27" x14ac:dyDescent="0.25">
      <c r="A72" s="48" t="s">
        <v>10</v>
      </c>
      <c r="B72" s="49" t="s">
        <v>600</v>
      </c>
      <c r="C72" s="53">
        <f>Tasandusfond!AE72</f>
        <v>953532</v>
      </c>
      <c r="D72" s="53">
        <f t="shared" si="2"/>
        <v>2202905</v>
      </c>
      <c r="E72" s="53">
        <f>Üldharidus!AJ72</f>
        <v>1697700</v>
      </c>
      <c r="F72" s="53">
        <f>Üldharidus!AQ72</f>
        <v>190967</v>
      </c>
      <c r="G72" s="53">
        <f>Üldharidus!AR72</f>
        <v>85320</v>
      </c>
      <c r="H72" s="53">
        <f>Üldharidus!AS72</f>
        <v>10376</v>
      </c>
      <c r="I72" s="53">
        <f>Üldharidus!AT72</f>
        <v>34485</v>
      </c>
      <c r="J72" s="53">
        <f>Üldharidus!AU72</f>
        <v>105700</v>
      </c>
      <c r="K72" s="53">
        <f>Üldharidus!AV72</f>
        <v>71280</v>
      </c>
      <c r="L72" s="53">
        <f>Üldharidus!AW72</f>
        <v>7077</v>
      </c>
      <c r="M72" s="53">
        <f>Lasteaed!G72</f>
        <v>82917</v>
      </c>
      <c r="N72" s="53">
        <f>Huvitegevus!U72</f>
        <v>106515</v>
      </c>
      <c r="O72" s="53">
        <f>'Abivajadusega lapsed'!E72</f>
        <v>12717</v>
      </c>
      <c r="P72" s="53">
        <f>Toimetulekutoetus!O72</f>
        <v>325988</v>
      </c>
      <c r="Q72" s="53">
        <f>Matusetoetus!N72</f>
        <v>22718</v>
      </c>
      <c r="R72" s="53">
        <f>Asendushooldus!T72</f>
        <v>43956</v>
      </c>
      <c r="S72" s="53">
        <f>'Pikaajaline hooldus'!E72</f>
        <v>213983</v>
      </c>
      <c r="T72" s="53">
        <f>Rahvastikutoimingud!Y72</f>
        <v>228</v>
      </c>
      <c r="U72" s="53">
        <f>'Kohalikud teed'!K72</f>
        <v>228723</v>
      </c>
      <c r="V72" s="53">
        <f>Energiatoetus!W72</f>
        <v>33835</v>
      </c>
      <c r="W72" s="53"/>
      <c r="X72" s="54">
        <f t="shared" si="3"/>
        <v>4228017</v>
      </c>
      <c r="Y72" s="53"/>
      <c r="Z72" s="53"/>
      <c r="AA72" s="19"/>
    </row>
    <row r="73" spans="1:27" x14ac:dyDescent="0.25">
      <c r="A73" s="48" t="s">
        <v>10</v>
      </c>
      <c r="B73" s="49" t="s">
        <v>601</v>
      </c>
      <c r="C73" s="53">
        <f>Tasandusfond!AE73</f>
        <v>4194598</v>
      </c>
      <c r="D73" s="53">
        <f t="shared" si="2"/>
        <v>4687362</v>
      </c>
      <c r="E73" s="53">
        <f>Üldharidus!AJ73</f>
        <v>3892107</v>
      </c>
      <c r="F73" s="53">
        <f>Üldharidus!AQ73</f>
        <v>0</v>
      </c>
      <c r="G73" s="53">
        <f>Üldharidus!AR73</f>
        <v>180387</v>
      </c>
      <c r="H73" s="53">
        <f>Üldharidus!AS73</f>
        <v>24259</v>
      </c>
      <c r="I73" s="53">
        <f>Üldharidus!AT73</f>
        <v>78432</v>
      </c>
      <c r="J73" s="53">
        <f>Üldharidus!AU73</f>
        <v>240100</v>
      </c>
      <c r="K73" s="53">
        <f>Üldharidus!AV73</f>
        <v>256608</v>
      </c>
      <c r="L73" s="53">
        <f>Üldharidus!AW73</f>
        <v>15469</v>
      </c>
      <c r="M73" s="53">
        <f>Lasteaed!G73</f>
        <v>125310</v>
      </c>
      <c r="N73" s="53">
        <f>Huvitegevus!U73</f>
        <v>202154</v>
      </c>
      <c r="O73" s="53">
        <f>'Abivajadusega lapsed'!E73</f>
        <v>44114</v>
      </c>
      <c r="P73" s="53">
        <f>Toimetulekutoetus!O73</f>
        <v>983183</v>
      </c>
      <c r="Q73" s="53">
        <f>Matusetoetus!N73</f>
        <v>58428</v>
      </c>
      <c r="R73" s="53">
        <f>Asendushooldus!T73</f>
        <v>423075</v>
      </c>
      <c r="S73" s="53">
        <f>'Pikaajaline hooldus'!E73</f>
        <v>516665</v>
      </c>
      <c r="T73" s="53">
        <f>Rahvastikutoimingud!Y73</f>
        <v>19526</v>
      </c>
      <c r="U73" s="53">
        <f>'Kohalikud teed'!K73</f>
        <v>479469</v>
      </c>
      <c r="V73" s="53">
        <f>Energiatoetus!W73</f>
        <v>64251</v>
      </c>
      <c r="W73" s="53"/>
      <c r="X73" s="54">
        <f t="shared" si="3"/>
        <v>11798135</v>
      </c>
      <c r="Y73" s="53"/>
      <c r="Z73" s="53"/>
      <c r="AA73" s="19"/>
    </row>
    <row r="74" spans="1:27" x14ac:dyDescent="0.25">
      <c r="A74" s="48" t="s">
        <v>6</v>
      </c>
      <c r="B74" s="49" t="s">
        <v>602</v>
      </c>
      <c r="C74" s="53">
        <f>Tasandusfond!AE74</f>
        <v>1633813</v>
      </c>
      <c r="D74" s="53">
        <f t="shared" si="2"/>
        <v>2659996</v>
      </c>
      <c r="E74" s="53">
        <f>Üldharidus!AJ74</f>
        <v>1969503</v>
      </c>
      <c r="F74" s="53">
        <f>Üldharidus!AQ74</f>
        <v>289784</v>
      </c>
      <c r="G74" s="53">
        <f>Üldharidus!AR74</f>
        <v>92117</v>
      </c>
      <c r="H74" s="53">
        <f>Üldharidus!AS74</f>
        <v>11127</v>
      </c>
      <c r="I74" s="53">
        <f>Üldharidus!AT74</f>
        <v>37848</v>
      </c>
      <c r="J74" s="53">
        <f>Üldharidus!AU74</f>
        <v>116200</v>
      </c>
      <c r="K74" s="53">
        <f>Üldharidus!AV74</f>
        <v>135432</v>
      </c>
      <c r="L74" s="53">
        <f>Üldharidus!AW74</f>
        <v>7985</v>
      </c>
      <c r="M74" s="53">
        <f>Lasteaed!G74</f>
        <v>70012</v>
      </c>
      <c r="N74" s="53">
        <f>Huvitegevus!U74</f>
        <v>119784</v>
      </c>
      <c r="O74" s="53">
        <f>'Abivajadusega lapsed'!E74</f>
        <v>23050</v>
      </c>
      <c r="P74" s="53">
        <f>Toimetulekutoetus!O74</f>
        <v>130288</v>
      </c>
      <c r="Q74" s="53">
        <f>Matusetoetus!N74</f>
        <v>30098</v>
      </c>
      <c r="R74" s="53">
        <f>Asendushooldus!T74</f>
        <v>39989</v>
      </c>
      <c r="S74" s="53">
        <f>'Pikaajaline hooldus'!E74</f>
        <v>292521</v>
      </c>
      <c r="T74" s="53">
        <f>Rahvastikutoimingud!Y74</f>
        <v>466</v>
      </c>
      <c r="U74" s="53">
        <f>'Kohalikud teed'!K74</f>
        <v>311471</v>
      </c>
      <c r="V74" s="53">
        <f>Energiatoetus!W74</f>
        <v>61080</v>
      </c>
      <c r="W74" s="53"/>
      <c r="X74" s="54">
        <f t="shared" si="3"/>
        <v>5372568</v>
      </c>
      <c r="Y74" s="53"/>
      <c r="Z74" s="53"/>
      <c r="AA74" s="19"/>
    </row>
    <row r="75" spans="1:27" x14ac:dyDescent="0.25">
      <c r="A75" s="48" t="s">
        <v>6</v>
      </c>
      <c r="B75" s="49" t="s">
        <v>603</v>
      </c>
      <c r="C75" s="53">
        <f>Tasandusfond!AE75</f>
        <v>1578158</v>
      </c>
      <c r="D75" s="53">
        <f t="shared" si="2"/>
        <v>3895135</v>
      </c>
      <c r="E75" s="53">
        <f>Üldharidus!AJ75</f>
        <v>3043827</v>
      </c>
      <c r="F75" s="53">
        <f>Üldharidus!AQ75</f>
        <v>180656</v>
      </c>
      <c r="G75" s="53">
        <f>Üldharidus!AR75</f>
        <v>129817</v>
      </c>
      <c r="H75" s="53">
        <f>Üldharidus!AS75</f>
        <v>12907</v>
      </c>
      <c r="I75" s="53">
        <f>Üldharidus!AT75</f>
        <v>49533</v>
      </c>
      <c r="J75" s="53">
        <f>Üldharidus!AU75</f>
        <v>151725</v>
      </c>
      <c r="K75" s="53">
        <f>Üldharidus!AV75</f>
        <v>314820</v>
      </c>
      <c r="L75" s="53">
        <f>Üldharidus!AW75</f>
        <v>11850</v>
      </c>
      <c r="M75" s="53">
        <f>Lasteaed!G75</f>
        <v>124579</v>
      </c>
      <c r="N75" s="53">
        <f>Huvitegevus!U75</f>
        <v>139923</v>
      </c>
      <c r="O75" s="53">
        <f>'Abivajadusega lapsed'!E75</f>
        <v>17089</v>
      </c>
      <c r="P75" s="53">
        <f>Toimetulekutoetus!O75</f>
        <v>156277</v>
      </c>
      <c r="Q75" s="53">
        <f>Matusetoetus!N75</f>
        <v>30051</v>
      </c>
      <c r="R75" s="53">
        <f>Asendushooldus!T75</f>
        <v>103479</v>
      </c>
      <c r="S75" s="53">
        <f>'Pikaajaline hooldus'!E75</f>
        <v>279104</v>
      </c>
      <c r="T75" s="53">
        <f>Rahvastikutoimingud!Y75</f>
        <v>407</v>
      </c>
      <c r="U75" s="53">
        <f>'Kohalikud teed'!K75</f>
        <v>312713</v>
      </c>
      <c r="V75" s="53">
        <f>Energiatoetus!W75</f>
        <v>61863</v>
      </c>
      <c r="W75" s="53"/>
      <c r="X75" s="54">
        <f t="shared" si="3"/>
        <v>6698778</v>
      </c>
      <c r="Y75" s="53"/>
      <c r="Z75" s="53"/>
      <c r="AA75" s="19"/>
    </row>
    <row r="76" spans="1:27" x14ac:dyDescent="0.25">
      <c r="A76" s="48" t="s">
        <v>6</v>
      </c>
      <c r="B76" s="49" t="s">
        <v>117</v>
      </c>
      <c r="C76" s="53">
        <f>Tasandusfond!AE76</f>
        <v>2349241</v>
      </c>
      <c r="D76" s="53">
        <f t="shared" si="2"/>
        <v>4124125</v>
      </c>
      <c r="E76" s="53">
        <f>Üldharidus!AJ76</f>
        <v>3459173</v>
      </c>
      <c r="F76" s="53">
        <f>Üldharidus!AQ76</f>
        <v>87811</v>
      </c>
      <c r="G76" s="53">
        <f>Üldharidus!AR76</f>
        <v>151266</v>
      </c>
      <c r="H76" s="53">
        <f>Üldharidus!AS76</f>
        <v>17974</v>
      </c>
      <c r="I76" s="53">
        <f>Üldharidus!AT76</f>
        <v>54720</v>
      </c>
      <c r="J76" s="53">
        <f>Üldharidus!AU76</f>
        <v>167650</v>
      </c>
      <c r="K76" s="53">
        <f>Üldharidus!AV76</f>
        <v>171072</v>
      </c>
      <c r="L76" s="53">
        <f>Üldharidus!AW76</f>
        <v>14459</v>
      </c>
      <c r="M76" s="53">
        <f>Lasteaed!G76</f>
        <v>158824</v>
      </c>
      <c r="N76" s="53">
        <f>Huvitegevus!U76</f>
        <v>201763</v>
      </c>
      <c r="O76" s="53">
        <f>'Abivajadusega lapsed'!E76</f>
        <v>26230</v>
      </c>
      <c r="P76" s="53">
        <f>Toimetulekutoetus!O76</f>
        <v>72761</v>
      </c>
      <c r="Q76" s="53">
        <f>Matusetoetus!N76</f>
        <v>48720</v>
      </c>
      <c r="R76" s="53">
        <f>Asendushooldus!T76</f>
        <v>324975</v>
      </c>
      <c r="S76" s="53">
        <f>'Pikaajaline hooldus'!E76</f>
        <v>420349</v>
      </c>
      <c r="T76" s="53">
        <f>Rahvastikutoimingud!Y76</f>
        <v>590</v>
      </c>
      <c r="U76" s="53">
        <f>'Kohalikud teed'!K76</f>
        <v>448208</v>
      </c>
      <c r="V76" s="53">
        <f>Energiatoetus!W76</f>
        <v>116718</v>
      </c>
      <c r="W76" s="53"/>
      <c r="X76" s="54">
        <f t="shared" si="3"/>
        <v>8292504</v>
      </c>
      <c r="Y76" s="53"/>
      <c r="Z76" s="53"/>
      <c r="AA76" s="19"/>
    </row>
    <row r="77" spans="1:27" x14ac:dyDescent="0.25">
      <c r="A77" s="48" t="s">
        <v>6</v>
      </c>
      <c r="B77" s="49" t="s">
        <v>5</v>
      </c>
      <c r="C77" s="53">
        <f>Tasandusfond!AE77</f>
        <v>1686098</v>
      </c>
      <c r="D77" s="53">
        <f t="shared" si="2"/>
        <v>6883604</v>
      </c>
      <c r="E77" s="53">
        <f>Üldharidus!AJ77</f>
        <v>5079390</v>
      </c>
      <c r="F77" s="53">
        <f>Üldharidus!AQ77</f>
        <v>640042</v>
      </c>
      <c r="G77" s="53">
        <f>Üldharidus!AR77</f>
        <v>219696</v>
      </c>
      <c r="H77" s="53">
        <f>Üldharidus!AS77</f>
        <v>28656</v>
      </c>
      <c r="I77" s="53">
        <f>Üldharidus!AT77</f>
        <v>135979</v>
      </c>
      <c r="J77" s="53">
        <f>Üldharidus!AU77</f>
        <v>350000</v>
      </c>
      <c r="K77" s="53">
        <f>Üldharidus!AV77</f>
        <v>410573</v>
      </c>
      <c r="L77" s="53">
        <f>Üldharidus!AW77</f>
        <v>19268</v>
      </c>
      <c r="M77" s="53">
        <f>Lasteaed!G77</f>
        <v>308414</v>
      </c>
      <c r="N77" s="53">
        <f>Huvitegevus!U77</f>
        <v>56932</v>
      </c>
      <c r="O77" s="53">
        <f>'Abivajadusega lapsed'!E77</f>
        <v>39345</v>
      </c>
      <c r="P77" s="53">
        <f>Toimetulekutoetus!O77</f>
        <v>256527</v>
      </c>
      <c r="Q77" s="53">
        <f>Matusetoetus!N77</f>
        <v>53523</v>
      </c>
      <c r="R77" s="53">
        <f>Asendushooldus!T77</f>
        <v>147435</v>
      </c>
      <c r="S77" s="53">
        <f>'Pikaajaline hooldus'!E77</f>
        <v>596662</v>
      </c>
      <c r="T77" s="53">
        <f>Rahvastikutoimingud!Y77</f>
        <v>40178</v>
      </c>
      <c r="U77" s="53">
        <f>'Kohalikud teed'!K77</f>
        <v>334431</v>
      </c>
      <c r="V77" s="53">
        <f>Energiatoetus!W77</f>
        <v>91818</v>
      </c>
      <c r="W77" s="53"/>
      <c r="X77" s="54">
        <f t="shared" si="3"/>
        <v>10494967</v>
      </c>
      <c r="Y77" s="53"/>
      <c r="Z77" s="53"/>
      <c r="AA77" s="19"/>
    </row>
    <row r="78" spans="1:27" x14ac:dyDescent="0.25">
      <c r="A78" s="48" t="s">
        <v>1</v>
      </c>
      <c r="B78" s="49" t="s">
        <v>114</v>
      </c>
      <c r="C78" s="53">
        <f>Tasandusfond!AE78</f>
        <v>951883</v>
      </c>
      <c r="D78" s="53">
        <f t="shared" si="2"/>
        <v>1748349</v>
      </c>
      <c r="E78" s="53">
        <f>Üldharidus!AJ78</f>
        <v>1287953</v>
      </c>
      <c r="F78" s="53">
        <f>Üldharidus!AQ78</f>
        <v>189080</v>
      </c>
      <c r="G78" s="53">
        <f>Üldharidus!AR78</f>
        <v>54711</v>
      </c>
      <c r="H78" s="53">
        <f>Üldharidus!AS78</f>
        <v>7196</v>
      </c>
      <c r="I78" s="53">
        <f>Üldharidus!AT78</f>
        <v>23997</v>
      </c>
      <c r="J78" s="53">
        <f>Üldharidus!AU78</f>
        <v>73675</v>
      </c>
      <c r="K78" s="53">
        <f>Üldharidus!AV78</f>
        <v>106564</v>
      </c>
      <c r="L78" s="53">
        <f>Üldharidus!AW78</f>
        <v>5173</v>
      </c>
      <c r="M78" s="53">
        <f>Lasteaed!G78</f>
        <v>37186</v>
      </c>
      <c r="N78" s="53">
        <f>Huvitegevus!U78</f>
        <v>71069</v>
      </c>
      <c r="O78" s="53">
        <f>'Abivajadusega lapsed'!E78</f>
        <v>9936</v>
      </c>
      <c r="P78" s="53">
        <f>Toimetulekutoetus!O78</f>
        <v>37206</v>
      </c>
      <c r="Q78" s="53">
        <f>Matusetoetus!N78</f>
        <v>15930</v>
      </c>
      <c r="R78" s="53">
        <f>Asendushooldus!T78</f>
        <v>39686</v>
      </c>
      <c r="S78" s="53">
        <f>'Pikaajaline hooldus'!E78</f>
        <v>148225</v>
      </c>
      <c r="T78" s="53">
        <f>Rahvastikutoimingud!Y78</f>
        <v>189</v>
      </c>
      <c r="U78" s="53">
        <f>'Kohalikud teed'!K78</f>
        <v>207703</v>
      </c>
      <c r="V78" s="53">
        <f>Energiatoetus!W78</f>
        <v>29252</v>
      </c>
      <c r="W78" s="53"/>
      <c r="X78" s="54">
        <f t="shared" si="3"/>
        <v>3296614</v>
      </c>
      <c r="Y78" s="53"/>
      <c r="Z78" s="53"/>
      <c r="AA78" s="19"/>
    </row>
    <row r="79" spans="1:27" x14ac:dyDescent="0.25">
      <c r="A79" s="48" t="s">
        <v>1</v>
      </c>
      <c r="B79" s="49" t="s">
        <v>102</v>
      </c>
      <c r="C79" s="53">
        <f>Tasandusfond!AE79</f>
        <v>557880</v>
      </c>
      <c r="D79" s="53">
        <f t="shared" si="2"/>
        <v>1588804</v>
      </c>
      <c r="E79" s="53">
        <f>Üldharidus!AJ79</f>
        <v>1300790</v>
      </c>
      <c r="F79" s="53">
        <f>Üldharidus!AQ79</f>
        <v>0</v>
      </c>
      <c r="G79" s="53">
        <f>Üldharidus!AR79</f>
        <v>98943</v>
      </c>
      <c r="H79" s="53">
        <f>Üldharidus!AS79</f>
        <v>10389</v>
      </c>
      <c r="I79" s="53">
        <f>Üldharidus!AT79</f>
        <v>19323</v>
      </c>
      <c r="J79" s="53">
        <f>Üldharidus!AU79</f>
        <v>58975</v>
      </c>
      <c r="K79" s="53">
        <f>Üldharidus!AV79</f>
        <v>95040</v>
      </c>
      <c r="L79" s="53">
        <f>Üldharidus!AW79</f>
        <v>5344</v>
      </c>
      <c r="M79" s="53">
        <f>Lasteaed!G79</f>
        <v>49727</v>
      </c>
      <c r="N79" s="53">
        <f>Huvitegevus!U79</f>
        <v>81901</v>
      </c>
      <c r="O79" s="53">
        <f>'Abivajadusega lapsed'!E79</f>
        <v>6756</v>
      </c>
      <c r="P79" s="53">
        <f>Toimetulekutoetus!O79</f>
        <v>82558</v>
      </c>
      <c r="Q79" s="53">
        <f>Matusetoetus!N79</f>
        <v>20184</v>
      </c>
      <c r="R79" s="53">
        <f>Asendushooldus!T79</f>
        <v>150182</v>
      </c>
      <c r="S79" s="53">
        <f>'Pikaajaline hooldus'!E79</f>
        <v>185689</v>
      </c>
      <c r="T79" s="53">
        <f>Rahvastikutoimingud!Y79</f>
        <v>247</v>
      </c>
      <c r="U79" s="53">
        <f>'Kohalikud teed'!K79</f>
        <v>371162</v>
      </c>
      <c r="V79" s="53">
        <f>Energiatoetus!W79</f>
        <v>28988</v>
      </c>
      <c r="W79" s="53"/>
      <c r="X79" s="54">
        <f t="shared" si="3"/>
        <v>3124078</v>
      </c>
      <c r="Y79" s="53"/>
      <c r="Z79" s="53">
        <f>Lasteaed!G79</f>
        <v>49727</v>
      </c>
      <c r="AA79" s="54">
        <f>SUM(Y79:Z79)</f>
        <v>49727</v>
      </c>
    </row>
    <row r="80" spans="1:27" x14ac:dyDescent="0.25">
      <c r="A80" s="48" t="s">
        <v>1</v>
      </c>
      <c r="B80" s="49" t="s">
        <v>604</v>
      </c>
      <c r="C80" s="53">
        <f>Tasandusfond!AE80</f>
        <v>588699</v>
      </c>
      <c r="D80" s="53">
        <f t="shared" si="2"/>
        <v>1030379</v>
      </c>
      <c r="E80" s="53">
        <f>Üldharidus!AJ80</f>
        <v>826588</v>
      </c>
      <c r="F80" s="53">
        <f>Üldharidus!AQ80</f>
        <v>73651</v>
      </c>
      <c r="G80" s="53">
        <f>Üldharidus!AR80</f>
        <v>42320</v>
      </c>
      <c r="H80" s="53">
        <f>Üldharidus!AS80</f>
        <v>4216</v>
      </c>
      <c r="I80" s="53">
        <f>Üldharidus!AT80</f>
        <v>12369</v>
      </c>
      <c r="J80" s="53">
        <f>Üldharidus!AU80</f>
        <v>37975</v>
      </c>
      <c r="K80" s="53">
        <f>Üldharidus!AV80</f>
        <v>29700</v>
      </c>
      <c r="L80" s="53">
        <f>Üldharidus!AW80</f>
        <v>3560</v>
      </c>
      <c r="M80" s="53">
        <f>Lasteaed!G80</f>
        <v>15723</v>
      </c>
      <c r="N80" s="53">
        <f>Huvitegevus!U80</f>
        <v>52574</v>
      </c>
      <c r="O80" s="53">
        <f>'Abivajadusega lapsed'!E80</f>
        <v>1192</v>
      </c>
      <c r="P80" s="53">
        <f>Toimetulekutoetus!O80</f>
        <v>139706</v>
      </c>
      <c r="Q80" s="53">
        <f>Matusetoetus!N80</f>
        <v>11789</v>
      </c>
      <c r="R80" s="53">
        <f>Asendushooldus!T80</f>
        <v>87912</v>
      </c>
      <c r="S80" s="53">
        <f>'Pikaajaline hooldus'!E80</f>
        <v>104400</v>
      </c>
      <c r="T80" s="53">
        <f>Rahvastikutoimingud!Y80</f>
        <v>103</v>
      </c>
      <c r="U80" s="53">
        <f>'Kohalikud teed'!K80</f>
        <v>226007</v>
      </c>
      <c r="V80" s="53">
        <f>Energiatoetus!W80</f>
        <v>46406</v>
      </c>
      <c r="W80" s="53"/>
      <c r="X80" s="54">
        <f t="shared" si="3"/>
        <v>2304890</v>
      </c>
      <c r="Y80" s="53"/>
      <c r="Z80" s="53"/>
      <c r="AA80" s="19"/>
    </row>
    <row r="81" spans="1:27" x14ac:dyDescent="0.25">
      <c r="A81" s="48" t="s">
        <v>1</v>
      </c>
      <c r="B81" s="49" t="s">
        <v>92</v>
      </c>
      <c r="C81" s="53">
        <f>Tasandusfond!AE81</f>
        <v>2467832</v>
      </c>
      <c r="D81" s="53">
        <f t="shared" si="2"/>
        <v>4211999</v>
      </c>
      <c r="E81" s="53">
        <f>Üldharidus!AJ81</f>
        <v>3159133</v>
      </c>
      <c r="F81" s="53">
        <f>Üldharidus!AQ81</f>
        <v>395292</v>
      </c>
      <c r="G81" s="53">
        <f>Üldharidus!AR81</f>
        <v>158630</v>
      </c>
      <c r="H81" s="53">
        <f>Üldharidus!AS81</f>
        <v>18078</v>
      </c>
      <c r="I81" s="53">
        <f>Üldharidus!AT81</f>
        <v>61332</v>
      </c>
      <c r="J81" s="53">
        <f>Üldharidus!AU81</f>
        <v>188125</v>
      </c>
      <c r="K81" s="53">
        <f>Üldharidus!AV81</f>
        <v>218592</v>
      </c>
      <c r="L81" s="53">
        <f>Üldharidus!AW81</f>
        <v>12817</v>
      </c>
      <c r="M81" s="53">
        <f>Lasteaed!G81</f>
        <v>156881</v>
      </c>
      <c r="N81" s="53">
        <f>Huvitegevus!U81</f>
        <v>189942</v>
      </c>
      <c r="O81" s="53">
        <f>'Abivajadusega lapsed'!E81</f>
        <v>14705</v>
      </c>
      <c r="P81" s="53">
        <f>Toimetulekutoetus!O81</f>
        <v>200154</v>
      </c>
      <c r="Q81" s="53">
        <f>Matusetoetus!N81</f>
        <v>35898</v>
      </c>
      <c r="R81" s="53">
        <f>Asendushooldus!T81</f>
        <v>182254</v>
      </c>
      <c r="S81" s="53">
        <f>'Pikaajaline hooldus'!E81</f>
        <v>317203</v>
      </c>
      <c r="T81" s="53">
        <f>Rahvastikutoimingud!Y81</f>
        <v>606</v>
      </c>
      <c r="U81" s="53">
        <f>'Kohalikud teed'!K81</f>
        <v>411626</v>
      </c>
      <c r="V81" s="53">
        <f>Energiatoetus!W81</f>
        <v>47069</v>
      </c>
      <c r="W81" s="53"/>
      <c r="X81" s="54">
        <f t="shared" si="3"/>
        <v>8236169</v>
      </c>
      <c r="Y81" s="53"/>
      <c r="Z81" s="53"/>
      <c r="AA81" s="19"/>
    </row>
    <row r="82" spans="1:27" x14ac:dyDescent="0.25">
      <c r="A82" s="48" t="s">
        <v>1</v>
      </c>
      <c r="B82" s="49" t="s">
        <v>0</v>
      </c>
      <c r="C82" s="53">
        <f>Tasandusfond!AE82</f>
        <v>2186764</v>
      </c>
      <c r="D82" s="53">
        <f t="shared" si="2"/>
        <v>3886067</v>
      </c>
      <c r="E82" s="53">
        <f>Üldharidus!AJ82</f>
        <v>3115994</v>
      </c>
      <c r="F82" s="53">
        <f>Üldharidus!AQ82</f>
        <v>0</v>
      </c>
      <c r="G82" s="53">
        <f>Üldharidus!AR82</f>
        <v>148423</v>
      </c>
      <c r="H82" s="53">
        <f>Üldharidus!AS82</f>
        <v>21045</v>
      </c>
      <c r="I82" s="53">
        <f>Üldharidus!AT82</f>
        <v>68628</v>
      </c>
      <c r="J82" s="53">
        <f>Üldharidus!AU82</f>
        <v>210350</v>
      </c>
      <c r="K82" s="53">
        <f>Üldharidus!AV82</f>
        <v>310068</v>
      </c>
      <c r="L82" s="53">
        <f>Üldharidus!AW82</f>
        <v>11559</v>
      </c>
      <c r="M82" s="53">
        <f>Lasteaed!G82</f>
        <v>281771</v>
      </c>
      <c r="N82" s="53">
        <f>Huvitegevus!U82</f>
        <v>79795</v>
      </c>
      <c r="O82" s="53">
        <f>'Abivajadusega lapsed'!E82</f>
        <v>26230</v>
      </c>
      <c r="P82" s="53">
        <f>Toimetulekutoetus!O82</f>
        <v>561589</v>
      </c>
      <c r="Q82" s="53">
        <f>Matusetoetus!N82</f>
        <v>43801</v>
      </c>
      <c r="R82" s="53">
        <f>Asendushooldus!T82</f>
        <v>133096</v>
      </c>
      <c r="S82" s="53">
        <f>'Pikaajaline hooldus'!E82</f>
        <v>416924</v>
      </c>
      <c r="T82" s="53">
        <f>Rahvastikutoimingud!Y82</f>
        <v>23512</v>
      </c>
      <c r="U82" s="53">
        <f>'Kohalikud teed'!K82</f>
        <v>245918</v>
      </c>
      <c r="V82" s="53">
        <f>Energiatoetus!W82</f>
        <v>16464</v>
      </c>
      <c r="W82" s="53"/>
      <c r="X82" s="54">
        <f t="shared" si="3"/>
        <v>7901931</v>
      </c>
      <c r="Y82" s="53"/>
      <c r="Z82" s="53"/>
      <c r="AA82" s="19"/>
    </row>
    <row r="83" spans="1:27" x14ac:dyDescent="0.25">
      <c r="A83" s="287" t="s">
        <v>512</v>
      </c>
      <c r="B83" s="287"/>
      <c r="C83" s="54">
        <f>SUM(C4:C82)</f>
        <v>107370000</v>
      </c>
      <c r="D83" s="54">
        <f t="shared" ref="D83:Z83" si="4">SUM(D4:D82)</f>
        <v>468302070</v>
      </c>
      <c r="E83" s="54">
        <f t="shared" si="4"/>
        <v>347328831</v>
      </c>
      <c r="F83" s="54">
        <f t="shared" si="4"/>
        <v>45714248</v>
      </c>
      <c r="G83" s="54">
        <f t="shared" si="4"/>
        <v>15454980</v>
      </c>
      <c r="H83" s="54">
        <f t="shared" si="4"/>
        <v>1994448</v>
      </c>
      <c r="I83" s="54">
        <f t="shared" si="4"/>
        <v>8316470</v>
      </c>
      <c r="J83" s="54">
        <f t="shared" si="4"/>
        <v>24797500</v>
      </c>
      <c r="K83" s="54">
        <f t="shared" si="4"/>
        <v>23315689</v>
      </c>
      <c r="L83" s="54">
        <f t="shared" si="4"/>
        <v>1379904</v>
      </c>
      <c r="M83" s="54">
        <f t="shared" si="4"/>
        <v>15000000</v>
      </c>
      <c r="N83" s="54">
        <f t="shared" si="4"/>
        <v>10250000</v>
      </c>
      <c r="O83" s="54">
        <f t="shared" si="4"/>
        <v>2650000</v>
      </c>
      <c r="P83" s="54">
        <f t="shared" si="4"/>
        <v>35070925</v>
      </c>
      <c r="Q83" s="54">
        <f t="shared" si="4"/>
        <v>4000000</v>
      </c>
      <c r="R83" s="54">
        <f t="shared" si="4"/>
        <v>19175447</v>
      </c>
      <c r="S83" s="54">
        <f t="shared" si="4"/>
        <v>39200000</v>
      </c>
      <c r="T83" s="54">
        <f t="shared" si="4"/>
        <v>1326999</v>
      </c>
      <c r="U83" s="54">
        <f t="shared" si="4"/>
        <v>29313000</v>
      </c>
      <c r="V83" s="54">
        <f t="shared" si="4"/>
        <v>10430000</v>
      </c>
      <c r="W83" s="54">
        <f t="shared" si="4"/>
        <v>64385</v>
      </c>
      <c r="X83" s="54">
        <f t="shared" si="4"/>
        <v>742152826</v>
      </c>
      <c r="Y83" s="54">
        <f t="shared" si="4"/>
        <v>0</v>
      </c>
      <c r="Z83" s="54">
        <f t="shared" si="4"/>
        <v>49727</v>
      </c>
      <c r="AA83" s="54">
        <f>SUM(Y83:Z83)</f>
        <v>49727</v>
      </c>
    </row>
    <row r="84" spans="1:27" x14ac:dyDescent="0.25">
      <c r="A84" s="285" t="s">
        <v>573</v>
      </c>
      <c r="B84" s="264"/>
      <c r="C84" s="53">
        <f>Tasandusfond!AE85</f>
        <v>0</v>
      </c>
      <c r="D84" s="53">
        <f>Üldharidus!AX85</f>
        <v>2930</v>
      </c>
      <c r="E84" s="53"/>
      <c r="F84" s="53"/>
      <c r="G84" s="53"/>
      <c r="H84" s="53"/>
      <c r="I84" s="53"/>
      <c r="J84" s="53"/>
      <c r="K84" s="53"/>
      <c r="L84" s="53"/>
      <c r="M84" s="53">
        <f>Lasteaed!G85</f>
        <v>0</v>
      </c>
      <c r="N84" s="53">
        <f>Huvitegevus!U85</f>
        <v>0</v>
      </c>
      <c r="O84" s="53">
        <f>'Abivajadusega lapsed'!E85</f>
        <v>0</v>
      </c>
      <c r="P84" s="53">
        <f>Toimetulekutoetus!O85</f>
        <v>3393577</v>
      </c>
      <c r="Q84" s="53">
        <f>Matusetoetus!N85</f>
        <v>0</v>
      </c>
      <c r="R84" s="53">
        <f>Asendushooldus!T85</f>
        <v>2130605</v>
      </c>
      <c r="S84" s="53">
        <f>'Pikaajaline hooldus'!E85</f>
        <v>0</v>
      </c>
      <c r="T84" s="53">
        <f>Rahvastikutoimingud!Y85</f>
        <v>1</v>
      </c>
      <c r="U84" s="53">
        <f>'Kohalikud teed'!K85</f>
        <v>0</v>
      </c>
      <c r="V84" s="53">
        <f>Energiatoetus!W85</f>
        <v>0</v>
      </c>
      <c r="W84" s="53">
        <f>'Üleantud teed'!H11</f>
        <v>1</v>
      </c>
      <c r="X84" s="54">
        <f t="shared" si="3"/>
        <v>5527114</v>
      </c>
      <c r="Y84" s="19"/>
      <c r="Z84" s="19"/>
      <c r="AA84" s="19"/>
    </row>
    <row r="85" spans="1:27" x14ac:dyDescent="0.25">
      <c r="A85" s="285" t="s">
        <v>572</v>
      </c>
      <c r="B85" s="264"/>
      <c r="C85" s="54">
        <f>C84+C83</f>
        <v>107370000</v>
      </c>
      <c r="D85" s="54">
        <f t="shared" ref="D85:W85" si="5">D84+D83</f>
        <v>468305000</v>
      </c>
      <c r="E85" s="54">
        <f t="shared" si="5"/>
        <v>347328831</v>
      </c>
      <c r="F85" s="54">
        <f t="shared" si="5"/>
        <v>45714248</v>
      </c>
      <c r="G85" s="54">
        <f t="shared" si="5"/>
        <v>15454980</v>
      </c>
      <c r="H85" s="54">
        <f t="shared" si="5"/>
        <v>1994448</v>
      </c>
      <c r="I85" s="54">
        <f t="shared" si="5"/>
        <v>8316470</v>
      </c>
      <c r="J85" s="54">
        <f t="shared" si="5"/>
        <v>24797500</v>
      </c>
      <c r="K85" s="54">
        <f t="shared" si="5"/>
        <v>23315689</v>
      </c>
      <c r="L85" s="54">
        <f t="shared" ref="L85" si="6">L84+L83</f>
        <v>1379904</v>
      </c>
      <c r="M85" s="54">
        <f t="shared" si="5"/>
        <v>15000000</v>
      </c>
      <c r="N85" s="54">
        <f>N84+N83</f>
        <v>10250000</v>
      </c>
      <c r="O85" s="54">
        <f t="shared" si="5"/>
        <v>2650000</v>
      </c>
      <c r="P85" s="54">
        <f t="shared" si="5"/>
        <v>38464502</v>
      </c>
      <c r="Q85" s="54">
        <f t="shared" ref="Q85" si="7">Q84+Q83</f>
        <v>4000000</v>
      </c>
      <c r="R85" s="54">
        <f t="shared" ref="R85:S85" si="8">R84+R83</f>
        <v>21306052</v>
      </c>
      <c r="S85" s="54">
        <f t="shared" si="8"/>
        <v>39200000</v>
      </c>
      <c r="T85" s="54">
        <f t="shared" si="5"/>
        <v>1327000</v>
      </c>
      <c r="U85" s="54">
        <f t="shared" si="5"/>
        <v>29313000</v>
      </c>
      <c r="V85" s="54">
        <f t="shared" si="5"/>
        <v>10430000</v>
      </c>
      <c r="W85" s="54">
        <f t="shared" si="5"/>
        <v>64386</v>
      </c>
      <c r="X85" s="54">
        <f t="shared" si="3"/>
        <v>747679940</v>
      </c>
      <c r="Y85" s="54"/>
      <c r="Z85" s="54"/>
      <c r="AA85" s="54"/>
    </row>
    <row r="86" spans="1:27" x14ac:dyDescent="0.25">
      <c r="B86" s="55" t="s">
        <v>775</v>
      </c>
      <c r="C86" s="56">
        <v>107370000</v>
      </c>
      <c r="D86" s="56">
        <v>468305000</v>
      </c>
      <c r="E86" s="57"/>
      <c r="F86" s="57"/>
      <c r="G86" s="57"/>
      <c r="H86" s="57"/>
      <c r="I86" s="57"/>
      <c r="J86" s="57"/>
      <c r="K86" s="57"/>
      <c r="L86" s="57"/>
      <c r="M86" s="56">
        <v>15000000</v>
      </c>
      <c r="N86" s="56">
        <v>10250000</v>
      </c>
      <c r="O86" s="56">
        <v>2650000</v>
      </c>
      <c r="P86" s="56">
        <v>38464502</v>
      </c>
      <c r="Q86" s="56">
        <v>4000000</v>
      </c>
      <c r="R86" s="56">
        <v>21306052</v>
      </c>
      <c r="S86" s="56">
        <v>39200000</v>
      </c>
      <c r="T86" s="56">
        <f>1127000+200000</f>
        <v>1327000</v>
      </c>
      <c r="U86" s="56">
        <v>29313000</v>
      </c>
      <c r="V86" s="56">
        <v>10430000</v>
      </c>
      <c r="W86" s="56">
        <v>64386</v>
      </c>
      <c r="X86" s="56">
        <f>C86+D86+SUM(M86:W86)</f>
        <v>747679940</v>
      </c>
      <c r="Y86" s="2"/>
      <c r="Z86" s="2"/>
      <c r="AA86" s="2"/>
    </row>
    <row r="87" spans="1:27" x14ac:dyDescent="0.25">
      <c r="C87" s="63"/>
      <c r="D87" s="63"/>
      <c r="E87" s="125"/>
      <c r="F87" s="125"/>
      <c r="G87" s="125"/>
      <c r="H87" s="125"/>
      <c r="I87" s="125"/>
      <c r="J87" s="125"/>
      <c r="K87" s="125"/>
      <c r="L87" s="125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2"/>
      <c r="Z87" s="2"/>
      <c r="AA87" s="2"/>
    </row>
    <row r="88" spans="1:27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7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1" spans="1:27" x14ac:dyDescent="0.25"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</row>
    <row r="92" spans="1:27" x14ac:dyDescent="0.25">
      <c r="B92" s="47"/>
    </row>
    <row r="94" spans="1:27" x14ac:dyDescent="0.25">
      <c r="B94" s="71" t="s">
        <v>648</v>
      </c>
      <c r="C94" s="72" t="s">
        <v>649</v>
      </c>
      <c r="D94" s="72" t="s">
        <v>650</v>
      </c>
      <c r="E94" s="71"/>
      <c r="F94" s="71"/>
      <c r="G94" s="71"/>
      <c r="H94" s="71"/>
      <c r="I94" s="71"/>
      <c r="J94" s="71"/>
      <c r="K94" s="71"/>
      <c r="L94" s="71"/>
      <c r="M94" s="72" t="s">
        <v>651</v>
      </c>
      <c r="N94" s="72" t="s">
        <v>652</v>
      </c>
      <c r="O94" s="71">
        <v>10121</v>
      </c>
      <c r="P94" s="71">
        <v>10701</v>
      </c>
      <c r="Q94" s="71">
        <v>10402</v>
      </c>
      <c r="R94" s="71">
        <v>10400</v>
      </c>
      <c r="S94" s="71">
        <v>10201</v>
      </c>
      <c r="T94" s="72" t="s">
        <v>649</v>
      </c>
      <c r="U94" s="72" t="s">
        <v>653</v>
      </c>
      <c r="V94" s="72" t="s">
        <v>649</v>
      </c>
      <c r="W94" s="72" t="s">
        <v>653</v>
      </c>
    </row>
    <row r="96" spans="1:27" x14ac:dyDescent="0.25">
      <c r="B96" t="s">
        <v>688</v>
      </c>
      <c r="C96" t="s">
        <v>515</v>
      </c>
      <c r="X96" s="2"/>
    </row>
    <row r="97" spans="2:24" x14ac:dyDescent="0.25">
      <c r="B97" s="86" t="s">
        <v>684</v>
      </c>
      <c r="C97" s="87">
        <v>0.28000000000000003</v>
      </c>
    </row>
    <row r="98" spans="2:24" x14ac:dyDescent="0.25">
      <c r="B98" s="86" t="s">
        <v>685</v>
      </c>
      <c r="C98" s="87">
        <v>0.34</v>
      </c>
      <c r="G98" s="111"/>
    </row>
    <row r="99" spans="2:24" x14ac:dyDescent="0.25">
      <c r="B99" s="86" t="s">
        <v>686</v>
      </c>
      <c r="C99" s="87">
        <v>0.18</v>
      </c>
    </row>
    <row r="100" spans="2:24" x14ac:dyDescent="0.25">
      <c r="B100" s="86" t="s">
        <v>687</v>
      </c>
      <c r="C100" s="87">
        <v>0.2</v>
      </c>
    </row>
    <row r="102" spans="2:24" x14ac:dyDescent="0.25">
      <c r="B102" s="86" t="s">
        <v>735</v>
      </c>
      <c r="C102" s="56">
        <f>SUMIF(C4:U82,"&lt;0")</f>
        <v>0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</row>
  </sheetData>
  <mergeCells count="24">
    <mergeCell ref="Y1:AA1"/>
    <mergeCell ref="Y2:Y3"/>
    <mergeCell ref="Z2:Z3"/>
    <mergeCell ref="AA2:AA3"/>
    <mergeCell ref="A1:A3"/>
    <mergeCell ref="B1:B3"/>
    <mergeCell ref="A85:B85"/>
    <mergeCell ref="Q2:Q3"/>
    <mergeCell ref="R2:R3"/>
    <mergeCell ref="C1:C3"/>
    <mergeCell ref="A84:B84"/>
    <mergeCell ref="N2:N3"/>
    <mergeCell ref="P2:P3"/>
    <mergeCell ref="A83:B83"/>
    <mergeCell ref="D2:L2"/>
    <mergeCell ref="D1:W1"/>
    <mergeCell ref="M2:M3"/>
    <mergeCell ref="O2:O3"/>
    <mergeCell ref="X1:X3"/>
    <mergeCell ref="S2:S3"/>
    <mergeCell ref="V2:V3"/>
    <mergeCell ref="U2:U3"/>
    <mergeCell ref="T2:T3"/>
    <mergeCell ref="W2:W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F8623-5B59-4AA7-9722-1708CA24F307}">
  <dimension ref="A1:O82"/>
  <sheetViews>
    <sheetView workbookViewId="0">
      <pane xSplit="2" ySplit="1" topLeftCell="C44" activePane="bottomRight" state="frozen"/>
      <selection pane="topRight" activeCell="C1" sqref="C1"/>
      <selection pane="bottomLeft" activeCell="A2" sqref="A2"/>
      <selection pane="bottomRight" activeCell="O82" sqref="O82"/>
    </sheetView>
  </sheetViews>
  <sheetFormatPr defaultRowHeight="13.2" x14ac:dyDescent="0.25"/>
  <cols>
    <col min="1" max="1" width="8.6640625" bestFit="1" customWidth="1"/>
    <col min="2" max="2" width="15.88671875" customWidth="1"/>
    <col min="3" max="3" width="9.6640625" customWidth="1"/>
    <col min="4" max="5" width="12.33203125" customWidth="1"/>
    <col min="6" max="6" width="9.6640625" customWidth="1"/>
    <col min="7" max="7" width="10.6640625" customWidth="1"/>
    <col min="8" max="8" width="8.5546875" customWidth="1"/>
    <col min="9" max="10" width="11.33203125" customWidth="1"/>
    <col min="11" max="11" width="9.6640625" customWidth="1"/>
    <col min="12" max="12" width="9.33203125" customWidth="1"/>
    <col min="13" max="13" width="11" customWidth="1"/>
    <col min="14" max="14" width="9.33203125" customWidth="1"/>
    <col min="15" max="15" width="11" customWidth="1"/>
  </cols>
  <sheetData>
    <row r="1" spans="1:15" ht="40.200000000000003" customHeight="1" x14ac:dyDescent="0.25">
      <c r="A1" s="140" t="s">
        <v>511</v>
      </c>
      <c r="B1" s="140" t="s">
        <v>510</v>
      </c>
      <c r="C1" s="140" t="s">
        <v>539</v>
      </c>
      <c r="D1" s="140" t="s">
        <v>551</v>
      </c>
      <c r="E1" s="140" t="s">
        <v>550</v>
      </c>
      <c r="F1" s="140" t="s">
        <v>833</v>
      </c>
      <c r="G1" s="140" t="s">
        <v>541</v>
      </c>
      <c r="H1" s="140" t="s">
        <v>575</v>
      </c>
      <c r="I1" s="140" t="s">
        <v>574</v>
      </c>
      <c r="J1" s="140" t="s">
        <v>779</v>
      </c>
      <c r="K1" s="140" t="s">
        <v>552</v>
      </c>
      <c r="L1" s="140" t="s">
        <v>542</v>
      </c>
      <c r="M1" s="140" t="s">
        <v>856</v>
      </c>
      <c r="N1" s="140" t="s">
        <v>751</v>
      </c>
      <c r="O1" s="140" t="s">
        <v>512</v>
      </c>
    </row>
    <row r="2" spans="1:15" x14ac:dyDescent="0.25">
      <c r="A2" s="48" t="s">
        <v>69</v>
      </c>
      <c r="B2" s="49" t="s">
        <v>490</v>
      </c>
      <c r="C2" s="53">
        <f>Tasandusfond!AE4</f>
        <v>380973</v>
      </c>
      <c r="D2" s="53">
        <f>Lasteaed!G4</f>
        <v>111571</v>
      </c>
      <c r="E2" s="53">
        <f>Huvitegevus!U4</f>
        <v>118075</v>
      </c>
      <c r="F2" s="53">
        <f>'Abivajadusega lapsed'!E4</f>
        <v>12320</v>
      </c>
      <c r="G2" s="53">
        <f>Toimetulekutoetus!O4</f>
        <v>231495</v>
      </c>
      <c r="H2" s="53">
        <f>Matusetoetus!N4</f>
        <v>22022</v>
      </c>
      <c r="I2" s="53">
        <f>Asendushooldus!T4</f>
        <v>345236</v>
      </c>
      <c r="J2" s="53">
        <f>'Pikaajaline hooldus'!E4</f>
        <v>192612</v>
      </c>
      <c r="K2" s="53">
        <f>Rahvastikutoimingud!Y4</f>
        <v>299</v>
      </c>
      <c r="L2" s="53">
        <f>'Kohalikud teed'!K4</f>
        <v>210495</v>
      </c>
      <c r="M2" s="53">
        <f>Energiatoetus!W4</f>
        <v>38877</v>
      </c>
      <c r="N2" s="53">
        <f>'Üleantud teed'!H5</f>
        <v>1608</v>
      </c>
      <c r="O2" s="54">
        <f>SUM(C2:N2)</f>
        <v>1665583</v>
      </c>
    </row>
    <row r="3" spans="1:15" x14ac:dyDescent="0.25">
      <c r="A3" s="48" t="s">
        <v>69</v>
      </c>
      <c r="B3" s="49" t="s">
        <v>488</v>
      </c>
      <c r="C3" s="53">
        <f>Tasandusfond!AE5</f>
        <v>3097</v>
      </c>
      <c r="D3" s="53">
        <f>Lasteaed!G5</f>
        <v>96073</v>
      </c>
      <c r="E3" s="53">
        <f>Huvitegevus!U5</f>
        <v>108509</v>
      </c>
      <c r="F3" s="53">
        <f>'Abivajadusega lapsed'!E5</f>
        <v>30601</v>
      </c>
      <c r="G3" s="53">
        <f>Toimetulekutoetus!O5</f>
        <v>84092</v>
      </c>
      <c r="H3" s="53">
        <f>Matusetoetus!N5</f>
        <v>32712</v>
      </c>
      <c r="I3" s="53">
        <f>Asendushooldus!T5</f>
        <v>175823</v>
      </c>
      <c r="J3" s="53">
        <f>'Pikaajaline hooldus'!E5</f>
        <v>257509</v>
      </c>
      <c r="K3" s="53">
        <f>Rahvastikutoimingud!Y5</f>
        <v>783</v>
      </c>
      <c r="L3" s="53">
        <f>'Kohalikud teed'!K5</f>
        <v>269120</v>
      </c>
      <c r="M3" s="53">
        <f>Energiatoetus!W5</f>
        <v>84865</v>
      </c>
      <c r="N3" s="53"/>
      <c r="O3" s="54">
        <f t="shared" ref="O3:O66" si="0">SUM(C3:N3)</f>
        <v>1143184</v>
      </c>
    </row>
    <row r="4" spans="1:15" x14ac:dyDescent="0.25">
      <c r="A4" s="48" t="s">
        <v>69</v>
      </c>
      <c r="B4" s="49" t="s">
        <v>486</v>
      </c>
      <c r="C4" s="53">
        <f>Tasandusfond!AE6</f>
        <v>62765</v>
      </c>
      <c r="D4" s="53">
        <f>Lasteaed!G6</f>
        <v>70315</v>
      </c>
      <c r="E4" s="53">
        <f>Huvitegevus!U6</f>
        <v>77090</v>
      </c>
      <c r="F4" s="53">
        <f>'Abivajadusega lapsed'!E6</f>
        <v>9538</v>
      </c>
      <c r="G4" s="53">
        <f>Toimetulekutoetus!O6</f>
        <v>62755</v>
      </c>
      <c r="H4" s="53">
        <f>Matusetoetus!N6</f>
        <v>16455</v>
      </c>
      <c r="I4" s="53">
        <f>Asendushooldus!T6</f>
        <v>21978</v>
      </c>
      <c r="J4" s="53">
        <f>'Pikaajaline hooldus'!E6</f>
        <v>145306</v>
      </c>
      <c r="K4" s="53">
        <f>Rahvastikutoimingud!Y6</f>
        <v>348</v>
      </c>
      <c r="L4" s="53">
        <f>'Kohalikud teed'!K6</f>
        <v>152918</v>
      </c>
      <c r="M4" s="53">
        <f>Energiatoetus!W6</f>
        <v>51161</v>
      </c>
      <c r="N4" s="53"/>
      <c r="O4" s="54">
        <f t="shared" si="0"/>
        <v>670629</v>
      </c>
    </row>
    <row r="5" spans="1:15" x14ac:dyDescent="0.25">
      <c r="A5" s="48" t="s">
        <v>69</v>
      </c>
      <c r="B5" s="49" t="s">
        <v>81</v>
      </c>
      <c r="C5" s="53">
        <f>Tasandusfond!AE7</f>
        <v>0</v>
      </c>
      <c r="D5" s="53">
        <f>Lasteaed!G7</f>
        <v>117771</v>
      </c>
      <c r="E5" s="53">
        <f>Huvitegevus!U7</f>
        <v>37038</v>
      </c>
      <c r="F5" s="53">
        <f>'Abivajadusega lapsed'!E7</f>
        <v>28614</v>
      </c>
      <c r="G5" s="53">
        <f>Toimetulekutoetus!O7</f>
        <v>235053</v>
      </c>
      <c r="H5" s="53">
        <f>Matusetoetus!N7</f>
        <v>25265</v>
      </c>
      <c r="I5" s="53">
        <f>Asendushooldus!T7</f>
        <v>31135</v>
      </c>
      <c r="J5" s="53">
        <f>'Pikaajaline hooldus'!E7</f>
        <v>247872</v>
      </c>
      <c r="K5" s="53">
        <f>Rahvastikutoimingud!Y7</f>
        <v>562</v>
      </c>
      <c r="L5" s="53">
        <f>'Kohalikud teed'!K7</f>
        <v>176269</v>
      </c>
      <c r="M5" s="53">
        <f>Energiatoetus!W7</f>
        <v>63501</v>
      </c>
      <c r="N5" s="53"/>
      <c r="O5" s="54">
        <f t="shared" si="0"/>
        <v>963080</v>
      </c>
    </row>
    <row r="6" spans="1:15" x14ac:dyDescent="0.25">
      <c r="A6" s="48" t="s">
        <v>69</v>
      </c>
      <c r="B6" s="49" t="s">
        <v>480</v>
      </c>
      <c r="C6" s="53">
        <f>Tasandusfond!AE8</f>
        <v>828</v>
      </c>
      <c r="D6" s="53">
        <f>Lasteaed!G8</f>
        <v>57932</v>
      </c>
      <c r="E6" s="53">
        <f>Huvitegevus!U8</f>
        <v>59164</v>
      </c>
      <c r="F6" s="53">
        <f>'Abivajadusega lapsed'!E8</f>
        <v>12717</v>
      </c>
      <c r="G6" s="53">
        <f>Toimetulekutoetus!O8</f>
        <v>24306</v>
      </c>
      <c r="H6" s="53">
        <f>Matusetoetus!N8</f>
        <v>6741</v>
      </c>
      <c r="I6" s="53">
        <f>Asendushooldus!T8</f>
        <v>0</v>
      </c>
      <c r="J6" s="53">
        <f>'Pikaajaline hooldus'!E8</f>
        <v>84545</v>
      </c>
      <c r="K6" s="53">
        <f>Rahvastikutoimingud!Y8</f>
        <v>316</v>
      </c>
      <c r="L6" s="53">
        <f>'Kohalikud teed'!K8</f>
        <v>171537</v>
      </c>
      <c r="M6" s="53">
        <f>Energiatoetus!W8</f>
        <v>22353</v>
      </c>
      <c r="N6" s="53"/>
      <c r="O6" s="54">
        <f t="shared" si="0"/>
        <v>440439</v>
      </c>
    </row>
    <row r="7" spans="1:15" x14ac:dyDescent="0.25">
      <c r="A7" s="48" t="s">
        <v>69</v>
      </c>
      <c r="B7" s="49" t="s">
        <v>478</v>
      </c>
      <c r="C7" s="53">
        <f>Tasandusfond!AE9</f>
        <v>1464536</v>
      </c>
      <c r="D7" s="53">
        <f>Lasteaed!G9</f>
        <v>151632</v>
      </c>
      <c r="E7" s="53">
        <f>Huvitegevus!U9</f>
        <v>107358</v>
      </c>
      <c r="F7" s="53">
        <f>'Abivajadusega lapsed'!E9</f>
        <v>17089</v>
      </c>
      <c r="G7" s="53">
        <f>Toimetulekutoetus!O9</f>
        <v>264123</v>
      </c>
      <c r="H7" s="53">
        <f>Matusetoetus!N9</f>
        <v>20697</v>
      </c>
      <c r="I7" s="53">
        <f>Asendushooldus!T9</f>
        <v>64102</v>
      </c>
      <c r="J7" s="53">
        <f>'Pikaajaline hooldus'!E9</f>
        <v>184341</v>
      </c>
      <c r="K7" s="53">
        <f>Rahvastikutoimingud!Y9</f>
        <v>499</v>
      </c>
      <c r="L7" s="53">
        <f>'Kohalikud teed'!K9</f>
        <v>222808</v>
      </c>
      <c r="M7" s="53">
        <f>Energiatoetus!W9</f>
        <v>105775</v>
      </c>
      <c r="N7" s="53"/>
      <c r="O7" s="54">
        <f t="shared" si="0"/>
        <v>2602960</v>
      </c>
    </row>
    <row r="8" spans="1:15" x14ac:dyDescent="0.25">
      <c r="A8" s="48" t="s">
        <v>69</v>
      </c>
      <c r="B8" s="49" t="s">
        <v>476</v>
      </c>
      <c r="C8" s="53">
        <f>Tasandusfond!AE10</f>
        <v>563393</v>
      </c>
      <c r="D8" s="53">
        <f>Lasteaed!G10</f>
        <v>31321</v>
      </c>
      <c r="E8" s="53">
        <f>Huvitegevus!U10</f>
        <v>93157</v>
      </c>
      <c r="F8" s="53">
        <f>'Abivajadusega lapsed'!E10</f>
        <v>12320</v>
      </c>
      <c r="G8" s="53">
        <f>Toimetulekutoetus!O10</f>
        <v>35897</v>
      </c>
      <c r="H8" s="53">
        <f>Matusetoetus!N10</f>
        <v>22199</v>
      </c>
      <c r="I8" s="53">
        <f>Asendushooldus!T10</f>
        <v>39377</v>
      </c>
      <c r="J8" s="53">
        <f>'Pikaajaline hooldus'!E10</f>
        <v>190255</v>
      </c>
      <c r="K8" s="53">
        <f>Rahvastikutoimingud!Y10</f>
        <v>248</v>
      </c>
      <c r="L8" s="53">
        <f>'Kohalikud teed'!K10</f>
        <v>233907</v>
      </c>
      <c r="M8" s="53">
        <f>Energiatoetus!W10</f>
        <v>131657</v>
      </c>
      <c r="N8" s="53"/>
      <c r="O8" s="54">
        <f t="shared" si="0"/>
        <v>1353731</v>
      </c>
    </row>
    <row r="9" spans="1:15" x14ac:dyDescent="0.25">
      <c r="A9" s="48" t="s">
        <v>69</v>
      </c>
      <c r="B9" s="49" t="s">
        <v>83</v>
      </c>
      <c r="C9" s="53">
        <f>Tasandusfond!AE11</f>
        <v>387870</v>
      </c>
      <c r="D9" s="53">
        <f>Lasteaed!G11</f>
        <v>46690</v>
      </c>
      <c r="E9" s="53">
        <f>Huvitegevus!U11</f>
        <v>43516</v>
      </c>
      <c r="F9" s="53">
        <f>'Abivajadusega lapsed'!E11</f>
        <v>1192</v>
      </c>
      <c r="G9" s="53">
        <f>Toimetulekutoetus!O11</f>
        <v>267040</v>
      </c>
      <c r="H9" s="53">
        <f>Matusetoetus!N11</f>
        <v>10547</v>
      </c>
      <c r="I9" s="53">
        <f>Asendushooldus!T11</f>
        <v>124533</v>
      </c>
      <c r="J9" s="53">
        <f>'Pikaajaline hooldus'!E11</f>
        <v>105822</v>
      </c>
      <c r="K9" s="53">
        <f>Rahvastikutoimingud!Y11</f>
        <v>89</v>
      </c>
      <c r="L9" s="53">
        <f>'Kohalikud teed'!K11</f>
        <v>58169</v>
      </c>
      <c r="M9" s="53">
        <f>Energiatoetus!W11</f>
        <v>39739</v>
      </c>
      <c r="N9" s="53"/>
      <c r="O9" s="54">
        <f t="shared" si="0"/>
        <v>1085207</v>
      </c>
    </row>
    <row r="10" spans="1:15" x14ac:dyDescent="0.25">
      <c r="A10" s="48" t="s">
        <v>69</v>
      </c>
      <c r="B10" s="49" t="s">
        <v>605</v>
      </c>
      <c r="C10" s="53">
        <f>Tasandusfond!AE12</f>
        <v>1206753</v>
      </c>
      <c r="D10" s="53">
        <f>Lasteaed!G12</f>
        <v>181061</v>
      </c>
      <c r="E10" s="53">
        <f>Huvitegevus!U12</f>
        <v>183863</v>
      </c>
      <c r="F10" s="53">
        <f>'Abivajadusega lapsed'!E12</f>
        <v>29409</v>
      </c>
      <c r="G10" s="53">
        <f>Toimetulekutoetus!O12</f>
        <v>737408</v>
      </c>
      <c r="H10" s="53">
        <f>Matusetoetus!N12</f>
        <v>44536</v>
      </c>
      <c r="I10" s="53">
        <f>Asendushooldus!T12</f>
        <v>361720</v>
      </c>
      <c r="J10" s="53">
        <f>'Pikaajaline hooldus'!E12</f>
        <v>356650</v>
      </c>
      <c r="K10" s="53">
        <f>Rahvastikutoimingud!Y12</f>
        <v>664</v>
      </c>
      <c r="L10" s="53">
        <f>'Kohalikud teed'!K12</f>
        <v>476416</v>
      </c>
      <c r="M10" s="53">
        <f>Energiatoetus!W12</f>
        <v>57638</v>
      </c>
      <c r="N10" s="53"/>
      <c r="O10" s="54">
        <f t="shared" si="0"/>
        <v>3636118</v>
      </c>
    </row>
    <row r="11" spans="1:15" x14ac:dyDescent="0.25">
      <c r="A11" s="48" t="s">
        <v>69</v>
      </c>
      <c r="B11" s="49" t="s">
        <v>68</v>
      </c>
      <c r="C11" s="53">
        <f>Tasandusfond!AE13</f>
        <v>0</v>
      </c>
      <c r="D11" s="53">
        <f>Lasteaed!G13</f>
        <v>201830</v>
      </c>
      <c r="E11" s="53">
        <f>Huvitegevus!U13</f>
        <v>85362</v>
      </c>
      <c r="F11" s="53">
        <f>'Abivajadusega lapsed'!E13</f>
        <v>19474</v>
      </c>
      <c r="G11" s="53">
        <f>Toimetulekutoetus!O13</f>
        <v>504049</v>
      </c>
      <c r="H11" s="53">
        <f>Matusetoetus!N13</f>
        <v>55383</v>
      </c>
      <c r="I11" s="53">
        <f>Asendushooldus!T13</f>
        <v>26531</v>
      </c>
      <c r="J11" s="53">
        <f>'Pikaajaline hooldus'!E13</f>
        <v>424185</v>
      </c>
      <c r="K11" s="53">
        <f>Rahvastikutoimingud!Y13</f>
        <v>707</v>
      </c>
      <c r="L11" s="53">
        <f>'Kohalikud teed'!K13</f>
        <v>345219</v>
      </c>
      <c r="M11" s="53">
        <f>Energiatoetus!W13</f>
        <v>83973</v>
      </c>
      <c r="N11" s="53"/>
      <c r="O11" s="54">
        <f t="shared" si="0"/>
        <v>1746713</v>
      </c>
    </row>
    <row r="12" spans="1:15" x14ac:dyDescent="0.25">
      <c r="A12" s="48" t="s">
        <v>69</v>
      </c>
      <c r="B12" s="49" t="s">
        <v>470</v>
      </c>
      <c r="C12" s="53">
        <f>Tasandusfond!AE14</f>
        <v>200959</v>
      </c>
      <c r="D12" s="53">
        <f>Lasteaed!G14</f>
        <v>106120</v>
      </c>
      <c r="E12" s="53">
        <f>Huvitegevus!U14</f>
        <v>47735</v>
      </c>
      <c r="F12" s="53">
        <f>'Abivajadusega lapsed'!E14</f>
        <v>9936</v>
      </c>
      <c r="G12" s="53">
        <f>Toimetulekutoetus!O14</f>
        <v>36142</v>
      </c>
      <c r="H12" s="53">
        <f>Matusetoetus!N14</f>
        <v>12778</v>
      </c>
      <c r="I12" s="53">
        <f>Asendushooldus!T14</f>
        <v>69701</v>
      </c>
      <c r="J12" s="53">
        <f>'Pikaajaline hooldus'!E14</f>
        <v>114280</v>
      </c>
      <c r="K12" s="53">
        <f>Rahvastikutoimingud!Y14</f>
        <v>373</v>
      </c>
      <c r="L12" s="53">
        <f>'Kohalikud teed'!K14</f>
        <v>177236</v>
      </c>
      <c r="M12" s="53">
        <f>Energiatoetus!W14</f>
        <v>27171</v>
      </c>
      <c r="N12" s="53"/>
      <c r="O12" s="54">
        <f t="shared" si="0"/>
        <v>802431</v>
      </c>
    </row>
    <row r="13" spans="1:15" x14ac:dyDescent="0.25">
      <c r="A13" s="48" t="s">
        <v>69</v>
      </c>
      <c r="B13" s="49" t="s">
        <v>468</v>
      </c>
      <c r="C13" s="53">
        <f>Tasandusfond!AE15</f>
        <v>0</v>
      </c>
      <c r="D13" s="53">
        <f>Lasteaed!G15</f>
        <v>212027</v>
      </c>
      <c r="E13" s="53">
        <f>Huvitegevus!U15</f>
        <v>112642</v>
      </c>
      <c r="F13" s="53">
        <f>'Abivajadusega lapsed'!E15</f>
        <v>47293</v>
      </c>
      <c r="G13" s="53">
        <f>Toimetulekutoetus!O15</f>
        <v>125824</v>
      </c>
      <c r="H13" s="53">
        <f>Matusetoetus!N15</f>
        <v>26560</v>
      </c>
      <c r="I13" s="53">
        <f>Asendushooldus!T15</f>
        <v>69301</v>
      </c>
      <c r="J13" s="53">
        <f>'Pikaajaline hooldus'!E15</f>
        <v>228242</v>
      </c>
      <c r="K13" s="53">
        <f>Rahvastikutoimingud!Y15</f>
        <v>1671</v>
      </c>
      <c r="L13" s="53">
        <f>'Kohalikud teed'!K15</f>
        <v>268647</v>
      </c>
      <c r="M13" s="53">
        <f>Energiatoetus!W15</f>
        <v>449419</v>
      </c>
      <c r="N13" s="53"/>
      <c r="O13" s="54">
        <f t="shared" si="0"/>
        <v>1541626</v>
      </c>
    </row>
    <row r="14" spans="1:15" x14ac:dyDescent="0.25">
      <c r="A14" s="48" t="s">
        <v>69</v>
      </c>
      <c r="B14" s="49" t="s">
        <v>466</v>
      </c>
      <c r="C14" s="53">
        <f>Tasandusfond!AE16</f>
        <v>0</v>
      </c>
      <c r="D14" s="53">
        <f>Lasteaed!G16</f>
        <v>70493</v>
      </c>
      <c r="E14" s="53">
        <f>Huvitegevus!U16</f>
        <v>100387</v>
      </c>
      <c r="F14" s="53">
        <f>'Abivajadusega lapsed'!E16</f>
        <v>22653</v>
      </c>
      <c r="G14" s="53">
        <f>Toimetulekutoetus!O16</f>
        <v>96209</v>
      </c>
      <c r="H14" s="53">
        <f>Matusetoetus!N16</f>
        <v>15398</v>
      </c>
      <c r="I14" s="53">
        <f>Asendushooldus!T16</f>
        <v>86996</v>
      </c>
      <c r="J14" s="53">
        <f>'Pikaajaline hooldus'!E16</f>
        <v>216097</v>
      </c>
      <c r="K14" s="53">
        <f>Rahvastikutoimingud!Y16</f>
        <v>538</v>
      </c>
      <c r="L14" s="53">
        <f>'Kohalikud teed'!K16</f>
        <v>196223</v>
      </c>
      <c r="M14" s="53">
        <f>Energiatoetus!W16</f>
        <v>137399</v>
      </c>
      <c r="N14" s="53"/>
      <c r="O14" s="54">
        <f t="shared" si="0"/>
        <v>942393</v>
      </c>
    </row>
    <row r="15" spans="1:15" x14ac:dyDescent="0.25">
      <c r="A15" s="48" t="s">
        <v>69</v>
      </c>
      <c r="B15" s="49" t="s">
        <v>464</v>
      </c>
      <c r="C15" s="53">
        <f>Tasandusfond!AE17</f>
        <v>352336</v>
      </c>
      <c r="D15" s="53">
        <f>Lasteaed!G17</f>
        <v>168978</v>
      </c>
      <c r="E15" s="53">
        <f>Huvitegevus!U17</f>
        <v>172737</v>
      </c>
      <c r="F15" s="53">
        <f>'Abivajadusega lapsed'!E17</f>
        <v>46896</v>
      </c>
      <c r="G15" s="53">
        <f>Toimetulekutoetus!O17</f>
        <v>548941</v>
      </c>
      <c r="H15" s="53">
        <f>Matusetoetus!N17</f>
        <v>52194</v>
      </c>
      <c r="I15" s="53">
        <f>Asendushooldus!T17</f>
        <v>152014</v>
      </c>
      <c r="J15" s="53">
        <f>'Pikaajaline hooldus'!E17</f>
        <v>492600</v>
      </c>
      <c r="K15" s="53">
        <f>Rahvastikutoimingud!Y17</f>
        <v>1417</v>
      </c>
      <c r="L15" s="53">
        <f>'Kohalikud teed'!K17</f>
        <v>551128</v>
      </c>
      <c r="M15" s="53">
        <f>Energiatoetus!W17</f>
        <v>164425</v>
      </c>
      <c r="N15" s="53"/>
      <c r="O15" s="54">
        <f t="shared" si="0"/>
        <v>2703666</v>
      </c>
    </row>
    <row r="16" spans="1:15" x14ac:dyDescent="0.25">
      <c r="A16" s="48" t="s">
        <v>69</v>
      </c>
      <c r="B16" s="49" t="s">
        <v>587</v>
      </c>
      <c r="C16" s="53">
        <f>Tasandusfond!AE18</f>
        <v>29042</v>
      </c>
      <c r="D16" s="53">
        <f>Lasteaed!G18</f>
        <v>2275928</v>
      </c>
      <c r="E16" s="53">
        <f>Huvitegevus!U18</f>
        <v>1517753</v>
      </c>
      <c r="F16" s="53">
        <f>'Abivajadusega lapsed'!E18</f>
        <v>752714</v>
      </c>
      <c r="G16" s="53">
        <f>Toimetulekutoetus!O18</f>
        <v>13497874</v>
      </c>
      <c r="H16" s="53">
        <f>Matusetoetus!N18</f>
        <v>1151645</v>
      </c>
      <c r="I16" s="53">
        <f>Asendushooldus!T18</f>
        <v>4141006</v>
      </c>
      <c r="J16" s="53">
        <f>'Pikaajaline hooldus'!E18</f>
        <v>12059841</v>
      </c>
      <c r="K16" s="53">
        <f>Rahvastikutoimingud!Y18</f>
        <v>602647</v>
      </c>
      <c r="L16" s="53">
        <f>'Kohalikud teed'!K18</f>
        <v>3645720</v>
      </c>
      <c r="M16" s="53">
        <f>Energiatoetus!W18</f>
        <v>4837752</v>
      </c>
      <c r="N16" s="53"/>
      <c r="O16" s="54">
        <f t="shared" si="0"/>
        <v>44511922</v>
      </c>
    </row>
    <row r="17" spans="1:15" x14ac:dyDescent="0.25">
      <c r="A17" s="48" t="s">
        <v>69</v>
      </c>
      <c r="B17" s="49" t="s">
        <v>460</v>
      </c>
      <c r="C17" s="53">
        <f>Tasandusfond!AE19</f>
        <v>126098</v>
      </c>
      <c r="D17" s="53">
        <f>Lasteaed!G19</f>
        <v>179434</v>
      </c>
      <c r="E17" s="53">
        <f>Huvitegevus!U19</f>
        <v>110727</v>
      </c>
      <c r="F17" s="53">
        <f>'Abivajadusega lapsed'!E19</f>
        <v>46101</v>
      </c>
      <c r="G17" s="53">
        <f>Toimetulekutoetus!O19</f>
        <v>221947</v>
      </c>
      <c r="H17" s="53">
        <f>Matusetoetus!N19</f>
        <v>29725</v>
      </c>
      <c r="I17" s="53">
        <f>Asendushooldus!T19</f>
        <v>36630</v>
      </c>
      <c r="J17" s="53">
        <f>'Pikaajaline hooldus'!E19</f>
        <v>408167</v>
      </c>
      <c r="K17" s="53">
        <f>Rahvastikutoimingud!Y19</f>
        <v>1086</v>
      </c>
      <c r="L17" s="53">
        <f>'Kohalikud teed'!K19</f>
        <v>249663</v>
      </c>
      <c r="M17" s="53">
        <f>Energiatoetus!W19</f>
        <v>215491</v>
      </c>
      <c r="N17" s="53">
        <f>'Üleantud teed'!H8</f>
        <v>27461</v>
      </c>
      <c r="O17" s="54">
        <f t="shared" si="0"/>
        <v>1652530</v>
      </c>
    </row>
    <row r="18" spans="1:15" x14ac:dyDescent="0.25">
      <c r="A18" s="48" t="s">
        <v>67</v>
      </c>
      <c r="B18" s="49" t="s">
        <v>591</v>
      </c>
      <c r="C18" s="53">
        <f>Tasandusfond!AE20</f>
        <v>23286</v>
      </c>
      <c r="D18" s="53">
        <f>Lasteaed!G20</f>
        <v>100520</v>
      </c>
      <c r="E18" s="53">
        <f>Huvitegevus!U20</f>
        <v>103579</v>
      </c>
      <c r="F18" s="53">
        <f>'Abivajadusega lapsed'!E20</f>
        <v>17089</v>
      </c>
      <c r="G18" s="53">
        <f>Toimetulekutoetus!O20</f>
        <v>158101</v>
      </c>
      <c r="H18" s="53">
        <f>Matusetoetus!N20</f>
        <v>28829</v>
      </c>
      <c r="I18" s="53">
        <f>Asendushooldus!T20</f>
        <v>0</v>
      </c>
      <c r="J18" s="53">
        <f>'Pikaajaline hooldus'!E20</f>
        <v>298434</v>
      </c>
      <c r="K18" s="53">
        <f>Rahvastikutoimingud!Y20</f>
        <v>6017</v>
      </c>
      <c r="L18" s="53">
        <f>'Kohalikud teed'!K20</f>
        <v>403924</v>
      </c>
      <c r="M18" s="53">
        <f>Energiatoetus!W20</f>
        <v>85157</v>
      </c>
      <c r="N18" s="53"/>
      <c r="O18" s="54">
        <f t="shared" si="0"/>
        <v>1224936</v>
      </c>
    </row>
    <row r="19" spans="1:15" x14ac:dyDescent="0.25">
      <c r="A19" s="48" t="s">
        <v>58</v>
      </c>
      <c r="B19" s="49" t="s">
        <v>592</v>
      </c>
      <c r="C19" s="53">
        <f>Tasandusfond!AE21</f>
        <v>479600</v>
      </c>
      <c r="D19" s="53">
        <f>Lasteaed!G21</f>
        <v>58459</v>
      </c>
      <c r="E19" s="53">
        <f>Huvitegevus!U21</f>
        <v>71540</v>
      </c>
      <c r="F19" s="53">
        <f>'Abivajadusega lapsed'!E21</f>
        <v>8346</v>
      </c>
      <c r="G19" s="53">
        <f>Toimetulekutoetus!O21</f>
        <v>119268</v>
      </c>
      <c r="H19" s="53">
        <f>Matusetoetus!N21</f>
        <v>17690</v>
      </c>
      <c r="I19" s="53">
        <f>Asendushooldus!T21</f>
        <v>3039</v>
      </c>
      <c r="J19" s="53">
        <f>'Pikaajaline hooldus'!E21</f>
        <v>164412</v>
      </c>
      <c r="K19" s="53">
        <f>Rahvastikutoimingud!Y21</f>
        <v>87</v>
      </c>
      <c r="L19" s="53">
        <f>'Kohalikud teed'!K21</f>
        <v>233267</v>
      </c>
      <c r="M19" s="53">
        <f>Energiatoetus!W21</f>
        <v>66261</v>
      </c>
      <c r="N19" s="53">
        <f>'Üleantud teed'!H4</f>
        <v>22268</v>
      </c>
      <c r="O19" s="54">
        <f t="shared" si="0"/>
        <v>1244237</v>
      </c>
    </row>
    <row r="20" spans="1:15" x14ac:dyDescent="0.25">
      <c r="A20" s="48" t="s">
        <v>58</v>
      </c>
      <c r="B20" s="49" t="s">
        <v>434</v>
      </c>
      <c r="C20" s="53">
        <f>Tasandusfond!AE22</f>
        <v>1162998</v>
      </c>
      <c r="D20" s="53">
        <f>Lasteaed!G22</f>
        <v>201070</v>
      </c>
      <c r="E20" s="53">
        <f>Huvitegevus!U22</f>
        <v>87093</v>
      </c>
      <c r="F20" s="53">
        <f>'Abivajadusega lapsed'!E22</f>
        <v>16692</v>
      </c>
      <c r="G20" s="53">
        <f>Toimetulekutoetus!O22</f>
        <v>441656</v>
      </c>
      <c r="H20" s="53">
        <f>Matusetoetus!N22</f>
        <v>44314</v>
      </c>
      <c r="I20" s="53">
        <f>Asendushooldus!T22</f>
        <v>78077</v>
      </c>
      <c r="J20" s="53">
        <f>'Pikaajaline hooldus'!E22</f>
        <v>433205</v>
      </c>
      <c r="K20" s="53">
        <f>Rahvastikutoimingud!Y22</f>
        <v>75193</v>
      </c>
      <c r="L20" s="53">
        <f>'Kohalikud teed'!K22</f>
        <v>245343</v>
      </c>
      <c r="M20" s="53">
        <f>Energiatoetus!W22</f>
        <v>7215</v>
      </c>
      <c r="N20" s="53"/>
      <c r="O20" s="54">
        <f t="shared" si="0"/>
        <v>2792856</v>
      </c>
    </row>
    <row r="21" spans="1:15" x14ac:dyDescent="0.25">
      <c r="A21" s="48" t="s">
        <v>58</v>
      </c>
      <c r="B21" s="49" t="s">
        <v>57</v>
      </c>
      <c r="C21" s="53">
        <f>Tasandusfond!AE23</f>
        <v>6418907</v>
      </c>
      <c r="D21" s="53">
        <f>Lasteaed!G23</f>
        <v>926511</v>
      </c>
      <c r="E21" s="53">
        <f>Huvitegevus!U23</f>
        <v>191349</v>
      </c>
      <c r="F21" s="53">
        <f>'Abivajadusega lapsed'!E23</f>
        <v>71933</v>
      </c>
      <c r="G21" s="53">
        <f>Toimetulekutoetus!O23</f>
        <v>1141375</v>
      </c>
      <c r="H21" s="53">
        <f>Matusetoetus!N23</f>
        <v>133445</v>
      </c>
      <c r="I21" s="53">
        <f>Asendushooldus!T23</f>
        <v>1204207</v>
      </c>
      <c r="J21" s="53">
        <f>'Pikaajaline hooldus'!E23</f>
        <v>1216304</v>
      </c>
      <c r="K21" s="53">
        <f>Rahvastikutoimingud!Y23</f>
        <v>850</v>
      </c>
      <c r="L21" s="53">
        <f>'Kohalikud teed'!K23</f>
        <v>527336</v>
      </c>
      <c r="M21" s="53">
        <f>Energiatoetus!W23</f>
        <v>110556</v>
      </c>
      <c r="N21" s="53"/>
      <c r="O21" s="54">
        <f t="shared" si="0"/>
        <v>11942773</v>
      </c>
    </row>
    <row r="22" spans="1:15" x14ac:dyDescent="0.25">
      <c r="A22" s="48" t="s">
        <v>58</v>
      </c>
      <c r="B22" s="49" t="s">
        <v>426</v>
      </c>
      <c r="C22" s="53">
        <f>Tasandusfond!AE24</f>
        <v>1497584</v>
      </c>
      <c r="D22" s="53">
        <f>Lasteaed!G24</f>
        <v>122694</v>
      </c>
      <c r="E22" s="53">
        <f>Huvitegevus!U24</f>
        <v>100516</v>
      </c>
      <c r="F22" s="53">
        <f>'Abivajadusega lapsed'!E24</f>
        <v>15499</v>
      </c>
      <c r="G22" s="53">
        <f>Toimetulekutoetus!O24</f>
        <v>351473</v>
      </c>
      <c r="H22" s="53">
        <f>Matusetoetus!N24</f>
        <v>36485</v>
      </c>
      <c r="I22" s="53">
        <f>Asendushooldus!T24</f>
        <v>291207</v>
      </c>
      <c r="J22" s="53">
        <f>'Pikaajaline hooldus'!E24</f>
        <v>348884</v>
      </c>
      <c r="K22" s="53">
        <f>Rahvastikutoimingud!Y24</f>
        <v>304</v>
      </c>
      <c r="L22" s="53">
        <f>'Kohalikud teed'!K24</f>
        <v>401746</v>
      </c>
      <c r="M22" s="53">
        <f>Energiatoetus!W24</f>
        <v>54576</v>
      </c>
      <c r="N22" s="53"/>
      <c r="O22" s="54">
        <f t="shared" si="0"/>
        <v>3220968</v>
      </c>
    </row>
    <row r="23" spans="1:15" x14ac:dyDescent="0.25">
      <c r="A23" s="48" t="s">
        <v>58</v>
      </c>
      <c r="B23" s="49" t="s">
        <v>59</v>
      </c>
      <c r="C23" s="53">
        <f>Tasandusfond!AE25</f>
        <v>16132037</v>
      </c>
      <c r="D23" s="53">
        <f>Lasteaed!G25</f>
        <v>1078510</v>
      </c>
      <c r="E23" s="53">
        <f>Huvitegevus!U25</f>
        <v>133549</v>
      </c>
      <c r="F23" s="53">
        <f>'Abivajadusega lapsed'!E25</f>
        <v>113662</v>
      </c>
      <c r="G23" s="53">
        <f>Toimetulekutoetus!O25</f>
        <v>951063</v>
      </c>
      <c r="H23" s="53">
        <f>Matusetoetus!N25</f>
        <v>217880</v>
      </c>
      <c r="I23" s="53">
        <f>Asendushooldus!T25</f>
        <v>1141936</v>
      </c>
      <c r="J23" s="53">
        <f>'Pikaajaline hooldus'!E25</f>
        <v>1951966</v>
      </c>
      <c r="K23" s="53">
        <f>Rahvastikutoimingud!Y25</f>
        <v>108062</v>
      </c>
      <c r="L23" s="53">
        <f>'Kohalikud teed'!K25</f>
        <v>427313</v>
      </c>
      <c r="M23" s="53">
        <f>Energiatoetus!W25</f>
        <v>80221</v>
      </c>
      <c r="N23" s="53"/>
      <c r="O23" s="54">
        <f t="shared" si="0"/>
        <v>22336199</v>
      </c>
    </row>
    <row r="24" spans="1:15" x14ac:dyDescent="0.25">
      <c r="A24" s="48" t="s">
        <v>58</v>
      </c>
      <c r="B24" s="49" t="s">
        <v>62</v>
      </c>
      <c r="C24" s="53">
        <f>Tasandusfond!AE26</f>
        <v>1277687</v>
      </c>
      <c r="D24" s="53">
        <f>Lasteaed!G26</f>
        <v>51672</v>
      </c>
      <c r="E24" s="53">
        <f>Huvitegevus!U26</f>
        <v>63186</v>
      </c>
      <c r="F24" s="53">
        <f>'Abivajadusega lapsed'!E26</f>
        <v>4372</v>
      </c>
      <c r="G24" s="53">
        <f>Toimetulekutoetus!O26</f>
        <v>164850</v>
      </c>
      <c r="H24" s="53">
        <f>Matusetoetus!N26</f>
        <v>19490</v>
      </c>
      <c r="I24" s="53">
        <f>Asendushooldus!T26</f>
        <v>87911</v>
      </c>
      <c r="J24" s="53">
        <f>'Pikaajaline hooldus'!E26</f>
        <v>171822</v>
      </c>
      <c r="K24" s="53">
        <f>Rahvastikutoimingud!Y26</f>
        <v>137</v>
      </c>
      <c r="L24" s="53">
        <f>'Kohalikud teed'!K26</f>
        <v>254897</v>
      </c>
      <c r="M24" s="53">
        <f>Energiatoetus!W26</f>
        <v>47272</v>
      </c>
      <c r="N24" s="53"/>
      <c r="O24" s="54">
        <f t="shared" si="0"/>
        <v>2143296</v>
      </c>
    </row>
    <row r="25" spans="1:15" x14ac:dyDescent="0.25">
      <c r="A25" s="48" t="s">
        <v>58</v>
      </c>
      <c r="B25" s="49" t="s">
        <v>61</v>
      </c>
      <c r="C25" s="53">
        <f>Tasandusfond!AE27</f>
        <v>2379250</v>
      </c>
      <c r="D25" s="53">
        <f>Lasteaed!G27</f>
        <v>226618</v>
      </c>
      <c r="E25" s="53">
        <f>Huvitegevus!U27</f>
        <v>42277</v>
      </c>
      <c r="F25" s="53">
        <f>'Abivajadusega lapsed'!E27</f>
        <v>19474</v>
      </c>
      <c r="G25" s="53">
        <f>Toimetulekutoetus!O27</f>
        <v>355693</v>
      </c>
      <c r="H25" s="53">
        <f>Matusetoetus!N27</f>
        <v>53005</v>
      </c>
      <c r="I25" s="53">
        <f>Asendushooldus!T27</f>
        <v>355310</v>
      </c>
      <c r="J25" s="53">
        <f>'Pikaajaline hooldus'!E27</f>
        <v>494471</v>
      </c>
      <c r="K25" s="53">
        <f>Rahvastikutoimingud!Y27</f>
        <v>485</v>
      </c>
      <c r="L25" s="53">
        <f>'Kohalikud teed'!K27</f>
        <v>76855</v>
      </c>
      <c r="M25" s="53">
        <f>Energiatoetus!W27</f>
        <v>35121</v>
      </c>
      <c r="N25" s="53"/>
      <c r="O25" s="54">
        <f t="shared" si="0"/>
        <v>4038559</v>
      </c>
    </row>
    <row r="26" spans="1:15" x14ac:dyDescent="0.25">
      <c r="A26" s="48" t="s">
        <v>58</v>
      </c>
      <c r="B26" s="49" t="s">
        <v>64</v>
      </c>
      <c r="C26" s="53">
        <f>Tasandusfond!AE28</f>
        <v>250648</v>
      </c>
      <c r="D26" s="53">
        <f>Lasteaed!G28</f>
        <v>77355</v>
      </c>
      <c r="E26" s="53">
        <f>Huvitegevus!U28</f>
        <v>70008</v>
      </c>
      <c r="F26" s="53">
        <f>'Abivajadusega lapsed'!E28</f>
        <v>4769</v>
      </c>
      <c r="G26" s="53">
        <f>Toimetulekutoetus!O28</f>
        <v>82392</v>
      </c>
      <c r="H26" s="53">
        <f>Matusetoetus!N28</f>
        <v>15071</v>
      </c>
      <c r="I26" s="53">
        <f>Asendushooldus!T28</f>
        <v>32687</v>
      </c>
      <c r="J26" s="53">
        <f>'Pikaajaline hooldus'!E28</f>
        <v>149685</v>
      </c>
      <c r="K26" s="53">
        <f>Rahvastikutoimingud!Y28</f>
        <v>101</v>
      </c>
      <c r="L26" s="53">
        <f>'Kohalikud teed'!K28</f>
        <v>182625</v>
      </c>
      <c r="M26" s="53">
        <f>Energiatoetus!W28</f>
        <v>20166</v>
      </c>
      <c r="N26" s="53"/>
      <c r="O26" s="54">
        <f t="shared" si="0"/>
        <v>885507</v>
      </c>
    </row>
    <row r="27" spans="1:15" x14ac:dyDescent="0.25">
      <c r="A27" s="48" t="s">
        <v>55</v>
      </c>
      <c r="B27" s="49" t="s">
        <v>409</v>
      </c>
      <c r="C27" s="53">
        <f>Tasandusfond!AE29</f>
        <v>1764373</v>
      </c>
      <c r="D27" s="53">
        <f>Lasteaed!G29</f>
        <v>177292</v>
      </c>
      <c r="E27" s="53">
        <f>Huvitegevus!U29</f>
        <v>147360</v>
      </c>
      <c r="F27" s="53">
        <f>'Abivajadusega lapsed'!E29</f>
        <v>26627</v>
      </c>
      <c r="G27" s="53">
        <f>Toimetulekutoetus!O29</f>
        <v>124546</v>
      </c>
      <c r="H27" s="53">
        <f>Matusetoetus!N29</f>
        <v>50275</v>
      </c>
      <c r="I27" s="53">
        <f>Asendushooldus!T29</f>
        <v>212453</v>
      </c>
      <c r="J27" s="53">
        <f>'Pikaajaline hooldus'!E29</f>
        <v>444096</v>
      </c>
      <c r="K27" s="53">
        <f>Rahvastikutoimingud!Y29</f>
        <v>17226</v>
      </c>
      <c r="L27" s="53">
        <f>'Kohalikud teed'!K29</f>
        <v>414266</v>
      </c>
      <c r="M27" s="53">
        <f>Energiatoetus!W29</f>
        <v>162610</v>
      </c>
      <c r="N27" s="53"/>
      <c r="O27" s="54">
        <f t="shared" si="0"/>
        <v>3541124</v>
      </c>
    </row>
    <row r="28" spans="1:15" x14ac:dyDescent="0.25">
      <c r="A28" s="48" t="s">
        <v>55</v>
      </c>
      <c r="B28" s="49" t="s">
        <v>593</v>
      </c>
      <c r="C28" s="53">
        <f>Tasandusfond!AE30</f>
        <v>1125134</v>
      </c>
      <c r="D28" s="53">
        <f>Lasteaed!G30</f>
        <v>86097</v>
      </c>
      <c r="E28" s="53">
        <f>Huvitegevus!U30</f>
        <v>81020</v>
      </c>
      <c r="F28" s="53">
        <f>'Abivajadusega lapsed'!E30</f>
        <v>9141</v>
      </c>
      <c r="G28" s="53">
        <f>Toimetulekutoetus!O30</f>
        <v>111702</v>
      </c>
      <c r="H28" s="53">
        <f>Matusetoetus!N30</f>
        <v>21987</v>
      </c>
      <c r="I28" s="53">
        <f>Asendushooldus!T30</f>
        <v>40293</v>
      </c>
      <c r="J28" s="53">
        <f>'Pikaajaline hooldus'!E30</f>
        <v>213122</v>
      </c>
      <c r="K28" s="53">
        <f>Rahvastikutoimingud!Y30</f>
        <v>245</v>
      </c>
      <c r="L28" s="53">
        <f>'Kohalikud teed'!K30</f>
        <v>269305</v>
      </c>
      <c r="M28" s="53">
        <f>Energiatoetus!W30</f>
        <v>22567</v>
      </c>
      <c r="N28" s="53"/>
      <c r="O28" s="54">
        <f t="shared" si="0"/>
        <v>1980613</v>
      </c>
    </row>
    <row r="29" spans="1:15" x14ac:dyDescent="0.25">
      <c r="A29" s="48" t="s">
        <v>55</v>
      </c>
      <c r="B29" s="49" t="s">
        <v>397</v>
      </c>
      <c r="C29" s="53">
        <f>Tasandusfond!AE31</f>
        <v>1486038</v>
      </c>
      <c r="D29" s="53">
        <f>Lasteaed!G31</f>
        <v>131541</v>
      </c>
      <c r="E29" s="53">
        <f>Huvitegevus!U31</f>
        <v>110401</v>
      </c>
      <c r="F29" s="53">
        <f>'Abivajadusega lapsed'!E31</f>
        <v>19474</v>
      </c>
      <c r="G29" s="53">
        <f>Toimetulekutoetus!O31</f>
        <v>90089</v>
      </c>
      <c r="H29" s="53">
        <f>Matusetoetus!N31</f>
        <v>33996</v>
      </c>
      <c r="I29" s="53">
        <f>Asendushooldus!T31</f>
        <v>325090</v>
      </c>
      <c r="J29" s="53">
        <f>'Pikaajaline hooldus'!E31</f>
        <v>362863</v>
      </c>
      <c r="K29" s="53">
        <f>Rahvastikutoimingud!Y31</f>
        <v>393</v>
      </c>
      <c r="L29" s="53">
        <f>'Kohalikud teed'!K31</f>
        <v>266399</v>
      </c>
      <c r="M29" s="53">
        <f>Energiatoetus!W31</f>
        <v>102184</v>
      </c>
      <c r="N29" s="53"/>
      <c r="O29" s="54">
        <f t="shared" si="0"/>
        <v>2928468</v>
      </c>
    </row>
    <row r="30" spans="1:15" x14ac:dyDescent="0.25">
      <c r="A30" s="48" t="s">
        <v>52</v>
      </c>
      <c r="B30" s="49" t="s">
        <v>594</v>
      </c>
      <c r="C30" s="53">
        <f>Tasandusfond!AE32</f>
        <v>1771038</v>
      </c>
      <c r="D30" s="53">
        <f>Lasteaed!G32</f>
        <v>159578</v>
      </c>
      <c r="E30" s="53">
        <f>Huvitegevus!U32</f>
        <v>153631</v>
      </c>
      <c r="F30" s="53">
        <f>'Abivajadusega lapsed'!E32</f>
        <v>25435</v>
      </c>
      <c r="G30" s="53">
        <f>Toimetulekutoetus!O32</f>
        <v>139730</v>
      </c>
      <c r="H30" s="53">
        <f>Matusetoetus!N32</f>
        <v>31587</v>
      </c>
      <c r="I30" s="53">
        <f>Asendushooldus!T32</f>
        <v>130952</v>
      </c>
      <c r="J30" s="53">
        <f>'Pikaajaline hooldus'!E32</f>
        <v>278542</v>
      </c>
      <c r="K30" s="53">
        <f>Rahvastikutoimingud!Y32</f>
        <v>651</v>
      </c>
      <c r="L30" s="53">
        <f>'Kohalikud teed'!K32</f>
        <v>502927</v>
      </c>
      <c r="M30" s="53">
        <f>Energiatoetus!W32</f>
        <v>65708</v>
      </c>
      <c r="N30" s="53"/>
      <c r="O30" s="54">
        <f t="shared" si="0"/>
        <v>3259779</v>
      </c>
    </row>
    <row r="31" spans="1:15" x14ac:dyDescent="0.25">
      <c r="A31" s="48" t="s">
        <v>52</v>
      </c>
      <c r="B31" s="49" t="s">
        <v>51</v>
      </c>
      <c r="C31" s="53">
        <f>Tasandusfond!AE33</f>
        <v>207585</v>
      </c>
      <c r="D31" s="53">
        <f>Lasteaed!G33</f>
        <v>161430</v>
      </c>
      <c r="E31" s="53">
        <f>Huvitegevus!U33</f>
        <v>103054</v>
      </c>
      <c r="F31" s="53">
        <f>'Abivajadusega lapsed'!E33</f>
        <v>29012</v>
      </c>
      <c r="G31" s="53">
        <f>Toimetulekutoetus!O33</f>
        <v>194702</v>
      </c>
      <c r="H31" s="53">
        <f>Matusetoetus!N33</f>
        <v>39036</v>
      </c>
      <c r="I31" s="53">
        <f>Asendushooldus!T33</f>
        <v>0</v>
      </c>
      <c r="J31" s="53">
        <f>'Pikaajaline hooldus'!E33</f>
        <v>348547</v>
      </c>
      <c r="K31" s="53">
        <f>Rahvastikutoimingud!Y33</f>
        <v>14002</v>
      </c>
      <c r="L31" s="53">
        <f>'Kohalikud teed'!K33</f>
        <v>297702</v>
      </c>
      <c r="M31" s="53">
        <f>Energiatoetus!W33</f>
        <v>69290</v>
      </c>
      <c r="N31" s="53"/>
      <c r="O31" s="54">
        <f t="shared" si="0"/>
        <v>1464360</v>
      </c>
    </row>
    <row r="32" spans="1:15" x14ac:dyDescent="0.25">
      <c r="A32" s="48" t="s">
        <v>52</v>
      </c>
      <c r="B32" s="49" t="s">
        <v>370</v>
      </c>
      <c r="C32" s="53">
        <f>Tasandusfond!AE34</f>
        <v>1069809</v>
      </c>
      <c r="D32" s="53">
        <f>Lasteaed!G34</f>
        <v>128445</v>
      </c>
      <c r="E32" s="53">
        <f>Huvitegevus!U34</f>
        <v>127897</v>
      </c>
      <c r="F32" s="53">
        <f>'Abivajadusega lapsed'!E34</f>
        <v>25037</v>
      </c>
      <c r="G32" s="53">
        <f>Toimetulekutoetus!O34</f>
        <v>271447</v>
      </c>
      <c r="H32" s="53">
        <f>Matusetoetus!N34</f>
        <v>41725</v>
      </c>
      <c r="I32" s="53">
        <f>Asendushooldus!T34</f>
        <v>417580</v>
      </c>
      <c r="J32" s="53">
        <f>'Pikaajaline hooldus'!E34</f>
        <v>376991</v>
      </c>
      <c r="K32" s="53">
        <f>Rahvastikutoimingud!Y34</f>
        <v>714</v>
      </c>
      <c r="L32" s="53">
        <f>'Kohalikud teed'!K34</f>
        <v>428051</v>
      </c>
      <c r="M32" s="53">
        <f>Energiatoetus!W34</f>
        <v>44125</v>
      </c>
      <c r="N32" s="53"/>
      <c r="O32" s="54">
        <f t="shared" si="0"/>
        <v>2931821</v>
      </c>
    </row>
    <row r="33" spans="1:15" x14ac:dyDescent="0.25">
      <c r="A33" s="48" t="s">
        <v>47</v>
      </c>
      <c r="B33" s="49" t="s">
        <v>48</v>
      </c>
      <c r="C33" s="53">
        <f>Tasandusfond!AE35</f>
        <v>1336630</v>
      </c>
      <c r="D33" s="53">
        <f>Lasteaed!G35</f>
        <v>148658</v>
      </c>
      <c r="E33" s="53">
        <f>Huvitegevus!U35</f>
        <v>187088</v>
      </c>
      <c r="F33" s="53">
        <f>'Abivajadusega lapsed'!E35</f>
        <v>27819</v>
      </c>
      <c r="G33" s="53">
        <f>Toimetulekutoetus!O35</f>
        <v>655073</v>
      </c>
      <c r="H33" s="53">
        <f>Matusetoetus!N35</f>
        <v>44449</v>
      </c>
      <c r="I33" s="53">
        <f>Asendushooldus!T35</f>
        <v>39177</v>
      </c>
      <c r="J33" s="53">
        <f>'Pikaajaline hooldus'!E35</f>
        <v>473943</v>
      </c>
      <c r="K33" s="53">
        <f>Rahvastikutoimingud!Y35</f>
        <v>33330</v>
      </c>
      <c r="L33" s="53">
        <f>'Kohalikud teed'!K35</f>
        <v>381084</v>
      </c>
      <c r="M33" s="53">
        <f>Energiatoetus!W35</f>
        <v>45035</v>
      </c>
      <c r="N33" s="53"/>
      <c r="O33" s="54">
        <f t="shared" si="0"/>
        <v>3372286</v>
      </c>
    </row>
    <row r="34" spans="1:15" x14ac:dyDescent="0.25">
      <c r="A34" s="48" t="s">
        <v>47</v>
      </c>
      <c r="B34" s="49" t="s">
        <v>353</v>
      </c>
      <c r="C34" s="53">
        <f>Tasandusfond!AE36</f>
        <v>1271756</v>
      </c>
      <c r="D34" s="53">
        <f>Lasteaed!G36</f>
        <v>67180</v>
      </c>
      <c r="E34" s="53">
        <f>Huvitegevus!U36</f>
        <v>120514</v>
      </c>
      <c r="F34" s="53">
        <f>'Abivajadusega lapsed'!E36</f>
        <v>12320</v>
      </c>
      <c r="G34" s="53">
        <f>Toimetulekutoetus!O36</f>
        <v>197370</v>
      </c>
      <c r="H34" s="53">
        <f>Matusetoetus!N36</f>
        <v>24594</v>
      </c>
      <c r="I34" s="53">
        <f>Asendushooldus!T36</f>
        <v>151098</v>
      </c>
      <c r="J34" s="53">
        <f>'Pikaajaline hooldus'!E36</f>
        <v>217894</v>
      </c>
      <c r="K34" s="53">
        <f>Rahvastikutoimingud!Y36</f>
        <v>382</v>
      </c>
      <c r="L34" s="53">
        <f>'Kohalikud teed'!K36</f>
        <v>499228</v>
      </c>
      <c r="M34" s="53">
        <f>Energiatoetus!W36</f>
        <v>48516</v>
      </c>
      <c r="N34" s="53"/>
      <c r="O34" s="54">
        <f t="shared" si="0"/>
        <v>2610852</v>
      </c>
    </row>
    <row r="35" spans="1:15" x14ac:dyDescent="0.25">
      <c r="A35" s="48" t="s">
        <v>47</v>
      </c>
      <c r="B35" s="49" t="s">
        <v>349</v>
      </c>
      <c r="C35" s="53">
        <f>Tasandusfond!AE37</f>
        <v>125547</v>
      </c>
      <c r="D35" s="53">
        <f>Lasteaed!G37</f>
        <v>844</v>
      </c>
      <c r="E35" s="53">
        <f>Huvitegevus!U37</f>
        <v>2336</v>
      </c>
      <c r="F35" s="53">
        <f>'Abivajadusega lapsed'!E37</f>
        <v>397</v>
      </c>
      <c r="G35" s="53">
        <f>Toimetulekutoetus!O37</f>
        <v>1903</v>
      </c>
      <c r="H35" s="53">
        <f>Matusetoetus!N37</f>
        <v>1257</v>
      </c>
      <c r="I35" s="53">
        <f>Asendushooldus!T37</f>
        <v>0</v>
      </c>
      <c r="J35" s="53">
        <f>'Pikaajaline hooldus'!E37</f>
        <v>12388</v>
      </c>
      <c r="K35" s="53">
        <f>Rahvastikutoimingud!Y37</f>
        <v>4</v>
      </c>
      <c r="L35" s="53">
        <f>'Kohalikud teed'!K37</f>
        <v>25725</v>
      </c>
      <c r="M35" s="53">
        <f>Energiatoetus!W37</f>
        <v>0</v>
      </c>
      <c r="N35" s="53"/>
      <c r="O35" s="54">
        <f t="shared" si="0"/>
        <v>170401</v>
      </c>
    </row>
    <row r="36" spans="1:15" x14ac:dyDescent="0.25">
      <c r="A36" s="48" t="s">
        <v>38</v>
      </c>
      <c r="B36" s="49" t="s">
        <v>344</v>
      </c>
      <c r="C36" s="53">
        <f>Tasandusfond!AE38</f>
        <v>113652</v>
      </c>
      <c r="D36" s="53">
        <f>Lasteaed!G38</f>
        <v>82830</v>
      </c>
      <c r="E36" s="53">
        <f>Huvitegevus!U38</f>
        <v>49683</v>
      </c>
      <c r="F36" s="53">
        <f>'Abivajadusega lapsed'!E38</f>
        <v>3179</v>
      </c>
      <c r="G36" s="53">
        <f>Toimetulekutoetus!O38</f>
        <v>16084</v>
      </c>
      <c r="H36" s="53">
        <f>Matusetoetus!N38</f>
        <v>14184</v>
      </c>
      <c r="I36" s="53">
        <f>Asendushooldus!T38</f>
        <v>0</v>
      </c>
      <c r="J36" s="53">
        <f>'Pikaajaline hooldus'!E38</f>
        <v>147346</v>
      </c>
      <c r="K36" s="53">
        <f>Rahvastikutoimingud!Y38</f>
        <v>131</v>
      </c>
      <c r="L36" s="53">
        <f>'Kohalikud teed'!K38</f>
        <v>181496</v>
      </c>
      <c r="M36" s="53">
        <f>Energiatoetus!W38</f>
        <v>0</v>
      </c>
      <c r="N36" s="53"/>
      <c r="O36" s="54">
        <f t="shared" si="0"/>
        <v>608585</v>
      </c>
    </row>
    <row r="37" spans="1:15" x14ac:dyDescent="0.25">
      <c r="A37" s="48" t="s">
        <v>38</v>
      </c>
      <c r="B37" s="49" t="s">
        <v>342</v>
      </c>
      <c r="C37" s="53">
        <f>Tasandusfond!AE39</f>
        <v>505837</v>
      </c>
      <c r="D37" s="53">
        <f>Lasteaed!G39</f>
        <v>48939</v>
      </c>
      <c r="E37" s="53">
        <f>Huvitegevus!U39</f>
        <v>65490</v>
      </c>
      <c r="F37" s="53">
        <f>'Abivajadusega lapsed'!E39</f>
        <v>14307</v>
      </c>
      <c r="G37" s="53">
        <f>Toimetulekutoetus!O39</f>
        <v>72270</v>
      </c>
      <c r="H37" s="53">
        <f>Matusetoetus!N39</f>
        <v>11461</v>
      </c>
      <c r="I37" s="53">
        <f>Asendushooldus!T39</f>
        <v>43040</v>
      </c>
      <c r="J37" s="53">
        <f>'Pikaajaline hooldus'!E39</f>
        <v>127379</v>
      </c>
      <c r="K37" s="53">
        <f>Rahvastikutoimingud!Y39</f>
        <v>321</v>
      </c>
      <c r="L37" s="53">
        <f>'Kohalikud teed'!K39</f>
        <v>145538</v>
      </c>
      <c r="M37" s="53">
        <f>Energiatoetus!W39</f>
        <v>20760</v>
      </c>
      <c r="N37" s="53"/>
      <c r="O37" s="54">
        <f t="shared" si="0"/>
        <v>1055342</v>
      </c>
    </row>
    <row r="38" spans="1:15" x14ac:dyDescent="0.25">
      <c r="A38" s="48" t="s">
        <v>38</v>
      </c>
      <c r="B38" s="49" t="s">
        <v>336</v>
      </c>
      <c r="C38" s="53">
        <f>Tasandusfond!AE40</f>
        <v>724201</v>
      </c>
      <c r="D38" s="53">
        <f>Lasteaed!G40</f>
        <v>59816</v>
      </c>
      <c r="E38" s="53">
        <f>Huvitegevus!U40</f>
        <v>91340</v>
      </c>
      <c r="F38" s="53">
        <f>'Abivajadusega lapsed'!E40</f>
        <v>13115</v>
      </c>
      <c r="G38" s="53">
        <f>Toimetulekutoetus!O40</f>
        <v>49730</v>
      </c>
      <c r="H38" s="53">
        <f>Matusetoetus!N40</f>
        <v>18619</v>
      </c>
      <c r="I38" s="53">
        <f>Asendushooldus!T40</f>
        <v>108974</v>
      </c>
      <c r="J38" s="53">
        <f>'Pikaajaline hooldus'!E40</f>
        <v>160969</v>
      </c>
      <c r="K38" s="53">
        <f>Rahvastikutoimingud!Y40</f>
        <v>224</v>
      </c>
      <c r="L38" s="53">
        <f>'Kohalikud teed'!K40</f>
        <v>188275</v>
      </c>
      <c r="M38" s="53">
        <f>Energiatoetus!W40</f>
        <v>54717</v>
      </c>
      <c r="N38" s="53"/>
      <c r="O38" s="54">
        <f t="shared" si="0"/>
        <v>1469980</v>
      </c>
    </row>
    <row r="39" spans="1:15" x14ac:dyDescent="0.25">
      <c r="A39" s="48" t="s">
        <v>38</v>
      </c>
      <c r="B39" s="49" t="s">
        <v>37</v>
      </c>
      <c r="C39" s="53">
        <f>Tasandusfond!AE41</f>
        <v>1429380</v>
      </c>
      <c r="D39" s="53">
        <f>Lasteaed!G41</f>
        <v>141251</v>
      </c>
      <c r="E39" s="53">
        <f>Huvitegevus!U41</f>
        <v>86603</v>
      </c>
      <c r="F39" s="53">
        <f>'Abivajadusega lapsed'!E41</f>
        <v>30999</v>
      </c>
      <c r="G39" s="53">
        <f>Toimetulekutoetus!O41</f>
        <v>408314</v>
      </c>
      <c r="H39" s="53">
        <f>Matusetoetus!N41</f>
        <v>45655</v>
      </c>
      <c r="I39" s="53">
        <f>Asendushooldus!T41</f>
        <v>433148</v>
      </c>
      <c r="J39" s="53">
        <f>'Pikaajaline hooldus'!E41</f>
        <v>469115</v>
      </c>
      <c r="K39" s="53">
        <f>Rahvastikutoimingud!Y41</f>
        <v>47385</v>
      </c>
      <c r="L39" s="53">
        <f>'Kohalikud teed'!K41</f>
        <v>326998</v>
      </c>
      <c r="M39" s="53">
        <f>Energiatoetus!W41</f>
        <v>96140</v>
      </c>
      <c r="N39" s="53"/>
      <c r="O39" s="54">
        <f t="shared" si="0"/>
        <v>3514988</v>
      </c>
    </row>
    <row r="40" spans="1:15" x14ac:dyDescent="0.25">
      <c r="A40" s="48" t="s">
        <v>38</v>
      </c>
      <c r="B40" s="49" t="s">
        <v>328</v>
      </c>
      <c r="C40" s="53">
        <f>Tasandusfond!AE42</f>
        <v>2110280</v>
      </c>
      <c r="D40" s="53">
        <f>Lasteaed!G42</f>
        <v>127396</v>
      </c>
      <c r="E40" s="53">
        <f>Huvitegevus!U42</f>
        <v>147831</v>
      </c>
      <c r="F40" s="53">
        <f>'Abivajadusega lapsed'!E42</f>
        <v>27819</v>
      </c>
      <c r="G40" s="53">
        <f>Toimetulekutoetus!O42</f>
        <v>342229</v>
      </c>
      <c r="H40" s="53">
        <f>Matusetoetus!N42</f>
        <v>40603</v>
      </c>
      <c r="I40" s="53">
        <f>Asendushooldus!T42</f>
        <v>655675</v>
      </c>
      <c r="J40" s="53">
        <f>'Pikaajaline hooldus'!E42</f>
        <v>378451</v>
      </c>
      <c r="K40" s="53">
        <f>Rahvastikutoimingud!Y42</f>
        <v>807</v>
      </c>
      <c r="L40" s="53">
        <f>'Kohalikud teed'!K42</f>
        <v>468162</v>
      </c>
      <c r="M40" s="53">
        <f>Energiatoetus!W42</f>
        <v>67731</v>
      </c>
      <c r="N40" s="53"/>
      <c r="O40" s="54">
        <f t="shared" si="0"/>
        <v>4366984</v>
      </c>
    </row>
    <row r="41" spans="1:15" x14ac:dyDescent="0.25">
      <c r="A41" s="48" t="s">
        <v>38</v>
      </c>
      <c r="B41" s="49" t="s">
        <v>324</v>
      </c>
      <c r="C41" s="53">
        <f>Tasandusfond!AE43</f>
        <v>1464355</v>
      </c>
      <c r="D41" s="53">
        <f>Lasteaed!G43</f>
        <v>85750</v>
      </c>
      <c r="E41" s="53">
        <f>Huvitegevus!U43</f>
        <v>115966</v>
      </c>
      <c r="F41" s="53">
        <f>'Abivajadusega lapsed'!E43</f>
        <v>11923</v>
      </c>
      <c r="G41" s="53">
        <f>Toimetulekutoetus!O43</f>
        <v>141612</v>
      </c>
      <c r="H41" s="53">
        <f>Matusetoetus!N43</f>
        <v>22772</v>
      </c>
      <c r="I41" s="53">
        <f>Asendushooldus!T43</f>
        <v>108974</v>
      </c>
      <c r="J41" s="53">
        <f>'Pikaajaline hooldus'!E43</f>
        <v>197029</v>
      </c>
      <c r="K41" s="53">
        <f>Rahvastikutoimingud!Y43</f>
        <v>429</v>
      </c>
      <c r="L41" s="53">
        <f>'Kohalikud teed'!K43</f>
        <v>453944</v>
      </c>
      <c r="M41" s="53">
        <f>Energiatoetus!W43</f>
        <v>14483</v>
      </c>
      <c r="N41" s="53"/>
      <c r="O41" s="54">
        <f t="shared" si="0"/>
        <v>2617237</v>
      </c>
    </row>
    <row r="42" spans="1:15" x14ac:dyDescent="0.25">
      <c r="A42" s="48" t="s">
        <v>38</v>
      </c>
      <c r="B42" s="49" t="s">
        <v>322</v>
      </c>
      <c r="C42" s="53">
        <f>Tasandusfond!AE44</f>
        <v>963305</v>
      </c>
      <c r="D42" s="53">
        <f>Lasteaed!G44</f>
        <v>94841</v>
      </c>
      <c r="E42" s="53">
        <f>Huvitegevus!U44</f>
        <v>87055</v>
      </c>
      <c r="F42" s="53">
        <f>'Abivajadusega lapsed'!E44</f>
        <v>14705</v>
      </c>
      <c r="G42" s="53">
        <f>Toimetulekutoetus!O44</f>
        <v>204053</v>
      </c>
      <c r="H42" s="53">
        <f>Matusetoetus!N44</f>
        <v>20502</v>
      </c>
      <c r="I42" s="53">
        <f>Asendushooldus!T44</f>
        <v>173992</v>
      </c>
      <c r="J42" s="53">
        <f>'Pikaajaline hooldus'!E44</f>
        <v>218998</v>
      </c>
      <c r="K42" s="53">
        <f>Rahvastikutoimingud!Y44</f>
        <v>259</v>
      </c>
      <c r="L42" s="53">
        <f>'Kohalikud teed'!K44</f>
        <v>234060</v>
      </c>
      <c r="M42" s="53">
        <f>Energiatoetus!W44</f>
        <v>66840</v>
      </c>
      <c r="N42" s="53"/>
      <c r="O42" s="54">
        <f t="shared" si="0"/>
        <v>2078610</v>
      </c>
    </row>
    <row r="43" spans="1:15" x14ac:dyDescent="0.25">
      <c r="A43" s="48" t="s">
        <v>38</v>
      </c>
      <c r="B43" s="49" t="s">
        <v>320</v>
      </c>
      <c r="C43" s="53">
        <f>Tasandusfond!AE45</f>
        <v>1294846</v>
      </c>
      <c r="D43" s="53">
        <f>Lasteaed!G45</f>
        <v>99629</v>
      </c>
      <c r="E43" s="53">
        <f>Huvitegevus!U45</f>
        <v>101339</v>
      </c>
      <c r="F43" s="53">
        <f>'Abivajadusega lapsed'!E45</f>
        <v>15102</v>
      </c>
      <c r="G43" s="53">
        <f>Toimetulekutoetus!O45</f>
        <v>181755</v>
      </c>
      <c r="H43" s="53">
        <f>Matusetoetus!N45</f>
        <v>21099</v>
      </c>
      <c r="I43" s="53">
        <f>Asendushooldus!T45</f>
        <v>119047</v>
      </c>
      <c r="J43" s="53">
        <f>'Pikaajaline hooldus'!E45</f>
        <v>185913</v>
      </c>
      <c r="K43" s="53">
        <f>Rahvastikutoimingud!Y45</f>
        <v>276</v>
      </c>
      <c r="L43" s="53">
        <f>'Kohalikud teed'!K45</f>
        <v>336835</v>
      </c>
      <c r="M43" s="53">
        <f>Energiatoetus!W45</f>
        <v>52777</v>
      </c>
      <c r="N43" s="53"/>
      <c r="O43" s="54">
        <f t="shared" si="0"/>
        <v>2408618</v>
      </c>
    </row>
    <row r="44" spans="1:15" x14ac:dyDescent="0.25">
      <c r="A44" s="48" t="s">
        <v>35</v>
      </c>
      <c r="B44" s="49" t="s">
        <v>316</v>
      </c>
      <c r="C44" s="53">
        <f>Tasandusfond!AE46</f>
        <v>629567</v>
      </c>
      <c r="D44" s="53">
        <f>Lasteaed!G46</f>
        <v>48025</v>
      </c>
      <c r="E44" s="53">
        <f>Huvitegevus!U46</f>
        <v>71911</v>
      </c>
      <c r="F44" s="53">
        <f>'Abivajadusega lapsed'!E46</f>
        <v>9141</v>
      </c>
      <c r="G44" s="53">
        <f>Toimetulekutoetus!O46</f>
        <v>63582</v>
      </c>
      <c r="H44" s="53">
        <f>Matusetoetus!N46</f>
        <v>17364</v>
      </c>
      <c r="I44" s="53">
        <f>Asendushooldus!T46</f>
        <v>21978</v>
      </c>
      <c r="J44" s="53">
        <f>'Pikaajaline hooldus'!E46</f>
        <v>158761</v>
      </c>
      <c r="K44" s="53">
        <f>Rahvastikutoimingud!Y46</f>
        <v>350</v>
      </c>
      <c r="L44" s="53">
        <f>'Kohalikud teed'!K46</f>
        <v>186887</v>
      </c>
      <c r="M44" s="53">
        <f>Energiatoetus!W46</f>
        <v>14924</v>
      </c>
      <c r="N44" s="53"/>
      <c r="O44" s="54">
        <f t="shared" si="0"/>
        <v>1222490</v>
      </c>
    </row>
    <row r="45" spans="1:15" x14ac:dyDescent="0.25">
      <c r="A45" s="48" t="s">
        <v>35</v>
      </c>
      <c r="B45" s="49" t="s">
        <v>304</v>
      </c>
      <c r="C45" s="53">
        <f>Tasandusfond!AE47</f>
        <v>1997279</v>
      </c>
      <c r="D45" s="53">
        <f>Lasteaed!G47</f>
        <v>206730</v>
      </c>
      <c r="E45" s="53">
        <f>Huvitegevus!U47</f>
        <v>195680</v>
      </c>
      <c r="F45" s="53">
        <f>'Abivajadusega lapsed'!E47</f>
        <v>29012</v>
      </c>
      <c r="G45" s="53">
        <f>Toimetulekutoetus!O47</f>
        <v>378943</v>
      </c>
      <c r="H45" s="53">
        <f>Matusetoetus!N47</f>
        <v>44321</v>
      </c>
      <c r="I45" s="53">
        <f>Asendushooldus!T47</f>
        <v>236263</v>
      </c>
      <c r="J45" s="53">
        <f>'Pikaajaline hooldus'!E47</f>
        <v>460619</v>
      </c>
      <c r="K45" s="53">
        <f>Rahvastikutoimingud!Y47</f>
        <v>30617</v>
      </c>
      <c r="L45" s="53">
        <f>'Kohalikud teed'!K47</f>
        <v>482584</v>
      </c>
      <c r="M45" s="53">
        <f>Energiatoetus!W47</f>
        <v>113005</v>
      </c>
      <c r="N45" s="53"/>
      <c r="O45" s="54">
        <f t="shared" si="0"/>
        <v>4175053</v>
      </c>
    </row>
    <row r="46" spans="1:15" x14ac:dyDescent="0.25">
      <c r="A46" s="48" t="s">
        <v>35</v>
      </c>
      <c r="B46" s="49" t="s">
        <v>302</v>
      </c>
      <c r="C46" s="53">
        <f>Tasandusfond!AE48</f>
        <v>959174</v>
      </c>
      <c r="D46" s="53">
        <f>Lasteaed!G48</f>
        <v>52441</v>
      </c>
      <c r="E46" s="53">
        <f>Huvitegevus!U48</f>
        <v>87257</v>
      </c>
      <c r="F46" s="53">
        <f>'Abivajadusega lapsed'!E48</f>
        <v>18281</v>
      </c>
      <c r="G46" s="53">
        <f>Toimetulekutoetus!O48</f>
        <v>78049</v>
      </c>
      <c r="H46" s="53">
        <f>Matusetoetus!N48</f>
        <v>24212</v>
      </c>
      <c r="I46" s="53">
        <f>Asendushooldus!T48</f>
        <v>243589</v>
      </c>
      <c r="J46" s="53">
        <f>'Pikaajaline hooldus'!E48</f>
        <v>237093</v>
      </c>
      <c r="K46" s="53">
        <f>Rahvastikutoimingud!Y48</f>
        <v>287</v>
      </c>
      <c r="L46" s="53">
        <f>'Kohalikud teed'!K48</f>
        <v>243068</v>
      </c>
      <c r="M46" s="53">
        <f>Energiatoetus!W48</f>
        <v>31291</v>
      </c>
      <c r="N46" s="53"/>
      <c r="O46" s="54">
        <f t="shared" si="0"/>
        <v>1974742</v>
      </c>
    </row>
    <row r="47" spans="1:15" x14ac:dyDescent="0.25">
      <c r="A47" s="48" t="s">
        <v>28</v>
      </c>
      <c r="B47" s="49" t="s">
        <v>283</v>
      </c>
      <c r="C47" s="53">
        <f>Tasandusfond!AE49</f>
        <v>1123880</v>
      </c>
      <c r="D47" s="53">
        <f>Lasteaed!G49</f>
        <v>45078</v>
      </c>
      <c r="E47" s="53">
        <f>Huvitegevus!U49</f>
        <v>80721</v>
      </c>
      <c r="F47" s="53">
        <f>'Abivajadusega lapsed'!E49</f>
        <v>9538</v>
      </c>
      <c r="G47" s="53">
        <f>Toimetulekutoetus!O49</f>
        <v>85142</v>
      </c>
      <c r="H47" s="53">
        <f>Matusetoetus!N49</f>
        <v>16762</v>
      </c>
      <c r="I47" s="53">
        <f>Asendushooldus!T49</f>
        <v>0</v>
      </c>
      <c r="J47" s="53">
        <f>'Pikaajaline hooldus'!E49</f>
        <v>140328</v>
      </c>
      <c r="K47" s="53">
        <f>Rahvastikutoimingud!Y49</f>
        <v>254</v>
      </c>
      <c r="L47" s="53">
        <f>'Kohalikud teed'!K49</f>
        <v>204181</v>
      </c>
      <c r="M47" s="53">
        <f>Energiatoetus!W49</f>
        <v>32704</v>
      </c>
      <c r="N47" s="53"/>
      <c r="O47" s="54">
        <f t="shared" si="0"/>
        <v>1738588</v>
      </c>
    </row>
    <row r="48" spans="1:15" x14ac:dyDescent="0.25">
      <c r="A48" s="48" t="s">
        <v>28</v>
      </c>
      <c r="B48" s="49" t="s">
        <v>281</v>
      </c>
      <c r="C48" s="53">
        <f>Tasandusfond!AE50</f>
        <v>202939</v>
      </c>
      <c r="D48" s="53">
        <f>Lasteaed!G50</f>
        <v>3884</v>
      </c>
      <c r="E48" s="53">
        <f>Huvitegevus!U50</f>
        <v>6998</v>
      </c>
      <c r="F48" s="53">
        <f>'Abivajadusega lapsed'!E50</f>
        <v>0</v>
      </c>
      <c r="G48" s="53">
        <f>Toimetulekutoetus!O50</f>
        <v>9974</v>
      </c>
      <c r="H48" s="53">
        <f>Matusetoetus!N50</f>
        <v>2197</v>
      </c>
      <c r="I48" s="53">
        <f>Asendushooldus!T50</f>
        <v>0</v>
      </c>
      <c r="J48" s="53">
        <f>'Pikaajaline hooldus'!E50</f>
        <v>18750</v>
      </c>
      <c r="K48" s="53">
        <f>Rahvastikutoimingud!Y50</f>
        <v>28</v>
      </c>
      <c r="L48" s="53">
        <f>'Kohalikud teed'!K50</f>
        <v>18352</v>
      </c>
      <c r="M48" s="53">
        <f>Energiatoetus!W50</f>
        <v>7523</v>
      </c>
      <c r="N48" s="53">
        <f>'Üleantud teed'!H6</f>
        <v>2516</v>
      </c>
      <c r="O48" s="54">
        <f t="shared" si="0"/>
        <v>273161</v>
      </c>
    </row>
    <row r="49" spans="1:15" x14ac:dyDescent="0.25">
      <c r="A49" s="48" t="s">
        <v>28</v>
      </c>
      <c r="B49" s="49" t="s">
        <v>595</v>
      </c>
      <c r="C49" s="53">
        <f>Tasandusfond!AE51</f>
        <v>830314</v>
      </c>
      <c r="D49" s="53">
        <f>Lasteaed!G51</f>
        <v>85232</v>
      </c>
      <c r="E49" s="53">
        <f>Huvitegevus!U51</f>
        <v>78542</v>
      </c>
      <c r="F49" s="53">
        <f>'Abivajadusega lapsed'!E51</f>
        <v>8743</v>
      </c>
      <c r="G49" s="53">
        <f>Toimetulekutoetus!O51</f>
        <v>187421</v>
      </c>
      <c r="H49" s="53">
        <f>Matusetoetus!N51</f>
        <v>20385</v>
      </c>
      <c r="I49" s="53">
        <f>Asendushooldus!T51</f>
        <v>21062</v>
      </c>
      <c r="J49" s="53">
        <f>'Pikaajaline hooldus'!E51</f>
        <v>190797</v>
      </c>
      <c r="K49" s="53">
        <f>Rahvastikutoimingud!Y51</f>
        <v>252</v>
      </c>
      <c r="L49" s="53">
        <f>'Kohalikud teed'!K51</f>
        <v>420871</v>
      </c>
      <c r="M49" s="53">
        <f>Energiatoetus!W51</f>
        <v>23911</v>
      </c>
      <c r="N49" s="53"/>
      <c r="O49" s="54">
        <f t="shared" si="0"/>
        <v>1867530</v>
      </c>
    </row>
    <row r="50" spans="1:15" x14ac:dyDescent="0.25">
      <c r="A50" s="48" t="s">
        <v>28</v>
      </c>
      <c r="B50" s="49" t="s">
        <v>596</v>
      </c>
      <c r="C50" s="53">
        <f>Tasandusfond!AE52</f>
        <v>1588443</v>
      </c>
      <c r="D50" s="53">
        <f>Lasteaed!G52</f>
        <v>147515</v>
      </c>
      <c r="E50" s="53">
        <f>Huvitegevus!U52</f>
        <v>110306</v>
      </c>
      <c r="F50" s="53">
        <f>'Abivajadusega lapsed'!E52</f>
        <v>11923</v>
      </c>
      <c r="G50" s="53">
        <f>Toimetulekutoetus!O52</f>
        <v>120764</v>
      </c>
      <c r="H50" s="53">
        <f>Matusetoetus!N52</f>
        <v>31239</v>
      </c>
      <c r="I50" s="53">
        <f>Asendushooldus!T52</f>
        <v>140185</v>
      </c>
      <c r="J50" s="53">
        <f>'Pikaajaline hooldus'!E52</f>
        <v>278898</v>
      </c>
      <c r="K50" s="53">
        <f>Rahvastikutoimingud!Y52</f>
        <v>449</v>
      </c>
      <c r="L50" s="53">
        <f>'Kohalikud teed'!K52</f>
        <v>322324</v>
      </c>
      <c r="M50" s="53">
        <f>Energiatoetus!W52</f>
        <v>93121</v>
      </c>
      <c r="N50" s="53"/>
      <c r="O50" s="54">
        <f t="shared" si="0"/>
        <v>2845167</v>
      </c>
    </row>
    <row r="51" spans="1:15" x14ac:dyDescent="0.25">
      <c r="A51" s="48" t="s">
        <v>28</v>
      </c>
      <c r="B51" s="49" t="s">
        <v>30</v>
      </c>
      <c r="C51" s="53">
        <f>Tasandusfond!AE53</f>
        <v>5672585</v>
      </c>
      <c r="D51" s="53">
        <f>Lasteaed!G53</f>
        <v>773604</v>
      </c>
      <c r="E51" s="53">
        <f>Huvitegevus!U53</f>
        <v>408316</v>
      </c>
      <c r="F51" s="53">
        <f>'Abivajadusega lapsed'!E53</f>
        <v>112867</v>
      </c>
      <c r="G51" s="53">
        <f>Toimetulekutoetus!O53</f>
        <v>1827889</v>
      </c>
      <c r="H51" s="53">
        <f>Matusetoetus!N53</f>
        <v>176646</v>
      </c>
      <c r="I51" s="53">
        <f>Asendushooldus!T53</f>
        <v>689744</v>
      </c>
      <c r="J51" s="53">
        <f>'Pikaajaline hooldus'!E53</f>
        <v>1734485</v>
      </c>
      <c r="K51" s="53">
        <f>Rahvastikutoimingud!Y53</f>
        <v>79580</v>
      </c>
      <c r="L51" s="53">
        <f>'Kohalikud teed'!K53</f>
        <v>1135930</v>
      </c>
      <c r="M51" s="53">
        <f>Energiatoetus!W53</f>
        <v>334325</v>
      </c>
      <c r="N51" s="53"/>
      <c r="O51" s="54">
        <f t="shared" si="0"/>
        <v>12945971</v>
      </c>
    </row>
    <row r="52" spans="1:15" x14ac:dyDescent="0.25">
      <c r="A52" s="48" t="s">
        <v>28</v>
      </c>
      <c r="B52" s="49" t="s">
        <v>275</v>
      </c>
      <c r="C52" s="53">
        <f>Tasandusfond!AE54</f>
        <v>680943</v>
      </c>
      <c r="D52" s="53">
        <f>Lasteaed!G54</f>
        <v>51602</v>
      </c>
      <c r="E52" s="53">
        <f>Huvitegevus!U54</f>
        <v>76621</v>
      </c>
      <c r="F52" s="53">
        <f>'Abivajadusega lapsed'!E54</f>
        <v>4372</v>
      </c>
      <c r="G52" s="53">
        <f>Toimetulekutoetus!O54</f>
        <v>241713</v>
      </c>
      <c r="H52" s="53">
        <f>Matusetoetus!N54</f>
        <v>17692</v>
      </c>
      <c r="I52" s="53">
        <f>Asendushooldus!T54</f>
        <v>56452</v>
      </c>
      <c r="J52" s="53">
        <f>'Pikaajaline hooldus'!E54</f>
        <v>160576</v>
      </c>
      <c r="K52" s="53">
        <f>Rahvastikutoimingud!Y54</f>
        <v>246</v>
      </c>
      <c r="L52" s="53">
        <f>'Kohalikud teed'!K54</f>
        <v>237920</v>
      </c>
      <c r="M52" s="53">
        <f>Energiatoetus!W54</f>
        <v>26066</v>
      </c>
      <c r="N52" s="53"/>
      <c r="O52" s="54">
        <f t="shared" si="0"/>
        <v>1554203</v>
      </c>
    </row>
    <row r="53" spans="1:15" x14ac:dyDescent="0.25">
      <c r="A53" s="48" t="s">
        <v>28</v>
      </c>
      <c r="B53" s="49" t="s">
        <v>265</v>
      </c>
      <c r="C53" s="53">
        <f>Tasandusfond!AE55</f>
        <v>2914611</v>
      </c>
      <c r="D53" s="53">
        <f>Lasteaed!G55</f>
        <v>188363</v>
      </c>
      <c r="E53" s="53">
        <f>Huvitegevus!U55</f>
        <v>141445</v>
      </c>
      <c r="F53" s="53">
        <f>'Abivajadusega lapsed'!E55</f>
        <v>32191</v>
      </c>
      <c r="G53" s="53">
        <f>Toimetulekutoetus!O55</f>
        <v>146113</v>
      </c>
      <c r="H53" s="53">
        <f>Matusetoetus!N55</f>
        <v>37712</v>
      </c>
      <c r="I53" s="53">
        <f>Asendushooldus!T55</f>
        <v>99403</v>
      </c>
      <c r="J53" s="53">
        <f>'Pikaajaline hooldus'!E55</f>
        <v>307959</v>
      </c>
      <c r="K53" s="53">
        <f>Rahvastikutoimingud!Y55</f>
        <v>748</v>
      </c>
      <c r="L53" s="53">
        <f>'Kohalikud teed'!K55</f>
        <v>411232</v>
      </c>
      <c r="M53" s="53">
        <f>Energiatoetus!W55</f>
        <v>53550</v>
      </c>
      <c r="N53" s="53">
        <f>'Üleantud teed'!H7</f>
        <v>10532</v>
      </c>
      <c r="O53" s="54">
        <f t="shared" si="0"/>
        <v>4343859</v>
      </c>
    </row>
    <row r="54" spans="1:15" x14ac:dyDescent="0.25">
      <c r="A54" s="48" t="s">
        <v>24</v>
      </c>
      <c r="B54" s="49" t="s">
        <v>249</v>
      </c>
      <c r="C54" s="53">
        <f>Tasandusfond!AE56</f>
        <v>763281</v>
      </c>
      <c r="D54" s="53">
        <f>Lasteaed!G56</f>
        <v>95995</v>
      </c>
      <c r="E54" s="53">
        <f>Huvitegevus!U56</f>
        <v>107928</v>
      </c>
      <c r="F54" s="53">
        <f>'Abivajadusega lapsed'!E56</f>
        <v>10333</v>
      </c>
      <c r="G54" s="53">
        <f>Toimetulekutoetus!O56</f>
        <v>344727</v>
      </c>
      <c r="H54" s="53">
        <f>Matusetoetus!N56</f>
        <v>17385</v>
      </c>
      <c r="I54" s="53">
        <f>Asendushooldus!T56</f>
        <v>374540</v>
      </c>
      <c r="J54" s="53">
        <f>'Pikaajaline hooldus'!E56</f>
        <v>167986</v>
      </c>
      <c r="K54" s="53">
        <f>Rahvastikutoimingud!Y56</f>
        <v>279</v>
      </c>
      <c r="L54" s="53">
        <f>'Kohalikud teed'!K56</f>
        <v>252268</v>
      </c>
      <c r="M54" s="53">
        <f>Energiatoetus!W56</f>
        <v>18251</v>
      </c>
      <c r="N54" s="53"/>
      <c r="O54" s="54">
        <f t="shared" si="0"/>
        <v>2152973</v>
      </c>
    </row>
    <row r="55" spans="1:15" x14ac:dyDescent="0.25">
      <c r="A55" s="48" t="s">
        <v>24</v>
      </c>
      <c r="B55" s="49" t="s">
        <v>247</v>
      </c>
      <c r="C55" s="53">
        <f>Tasandusfond!AE57</f>
        <v>609899</v>
      </c>
      <c r="D55" s="53">
        <f>Lasteaed!G57</f>
        <v>116790</v>
      </c>
      <c r="E55" s="53">
        <f>Huvitegevus!U57</f>
        <v>68597</v>
      </c>
      <c r="F55" s="53">
        <f>'Abivajadusega lapsed'!E57</f>
        <v>13910</v>
      </c>
      <c r="G55" s="53">
        <f>Toimetulekutoetus!O57</f>
        <v>94321</v>
      </c>
      <c r="H55" s="53">
        <f>Matusetoetus!N57</f>
        <v>14436</v>
      </c>
      <c r="I55" s="53">
        <f>Asendushooldus!T57</f>
        <v>307878</v>
      </c>
      <c r="J55" s="53">
        <f>'Pikaajaline hooldus'!E57</f>
        <v>161455</v>
      </c>
      <c r="K55" s="53">
        <f>Rahvastikutoimingud!Y57</f>
        <v>438</v>
      </c>
      <c r="L55" s="53">
        <f>'Kohalikud teed'!K57</f>
        <v>394247</v>
      </c>
      <c r="M55" s="53">
        <f>Energiatoetus!W57</f>
        <v>25198</v>
      </c>
      <c r="N55" s="53"/>
      <c r="O55" s="54">
        <f t="shared" si="0"/>
        <v>1807169</v>
      </c>
    </row>
    <row r="56" spans="1:15" x14ac:dyDescent="0.25">
      <c r="A56" s="48" t="s">
        <v>24</v>
      </c>
      <c r="B56" s="49" t="s">
        <v>243</v>
      </c>
      <c r="C56" s="53">
        <f>Tasandusfond!AE58</f>
        <v>953805</v>
      </c>
      <c r="D56" s="53">
        <f>Lasteaed!G58</f>
        <v>116404</v>
      </c>
      <c r="E56" s="53">
        <f>Huvitegevus!U58</f>
        <v>113428</v>
      </c>
      <c r="F56" s="53">
        <f>'Abivajadusega lapsed'!E58</f>
        <v>11128</v>
      </c>
      <c r="G56" s="53">
        <f>Toimetulekutoetus!O58</f>
        <v>272917</v>
      </c>
      <c r="H56" s="53">
        <f>Matusetoetus!N58</f>
        <v>27642</v>
      </c>
      <c r="I56" s="53">
        <f>Asendushooldus!T58</f>
        <v>343405</v>
      </c>
      <c r="J56" s="53">
        <f>'Pikaajaline hooldus'!E58</f>
        <v>240312</v>
      </c>
      <c r="K56" s="53">
        <f>Rahvastikutoimingud!Y58</f>
        <v>465</v>
      </c>
      <c r="L56" s="53">
        <f>'Kohalikud teed'!K58</f>
        <v>480231</v>
      </c>
      <c r="M56" s="53">
        <f>Energiatoetus!W58</f>
        <v>74321</v>
      </c>
      <c r="N56" s="53"/>
      <c r="O56" s="54">
        <f t="shared" si="0"/>
        <v>2634058</v>
      </c>
    </row>
    <row r="57" spans="1:15" x14ac:dyDescent="0.25">
      <c r="A57" s="48" t="s">
        <v>24</v>
      </c>
      <c r="B57" s="49" t="s">
        <v>239</v>
      </c>
      <c r="C57" s="53">
        <f>Tasandusfond!AE59</f>
        <v>999704</v>
      </c>
      <c r="D57" s="53">
        <f>Lasteaed!G59</f>
        <v>164477</v>
      </c>
      <c r="E57" s="53">
        <f>Huvitegevus!U59</f>
        <v>163750</v>
      </c>
      <c r="F57" s="53">
        <f>'Abivajadusega lapsed'!E59</f>
        <v>33781</v>
      </c>
      <c r="G57" s="53">
        <f>Toimetulekutoetus!O59</f>
        <v>394502</v>
      </c>
      <c r="H57" s="53">
        <f>Matusetoetus!N59</f>
        <v>42419</v>
      </c>
      <c r="I57" s="53">
        <f>Asendushooldus!T59</f>
        <v>124353</v>
      </c>
      <c r="J57" s="53">
        <f>'Pikaajaline hooldus'!E59</f>
        <v>394357</v>
      </c>
      <c r="K57" s="53">
        <f>Rahvastikutoimingud!Y59</f>
        <v>34203</v>
      </c>
      <c r="L57" s="53">
        <f>'Kohalikud teed'!K59</f>
        <v>392531</v>
      </c>
      <c r="M57" s="53">
        <f>Energiatoetus!W59</f>
        <v>82577</v>
      </c>
      <c r="N57" s="53"/>
      <c r="O57" s="54">
        <f t="shared" si="0"/>
        <v>2826654</v>
      </c>
    </row>
    <row r="58" spans="1:15" x14ac:dyDescent="0.25">
      <c r="A58" s="48" t="s">
        <v>20</v>
      </c>
      <c r="B58" s="49" t="s">
        <v>225</v>
      </c>
      <c r="C58" s="53">
        <f>Tasandusfond!AE60</f>
        <v>21818</v>
      </c>
      <c r="D58" s="53">
        <f>Lasteaed!G60</f>
        <v>15530</v>
      </c>
      <c r="E58" s="53">
        <f>Huvitegevus!U60</f>
        <v>18666</v>
      </c>
      <c r="F58" s="53">
        <f>'Abivajadusega lapsed'!E60</f>
        <v>795</v>
      </c>
      <c r="G58" s="53">
        <f>Toimetulekutoetus!O60</f>
        <v>7448</v>
      </c>
      <c r="H58" s="53">
        <f>Matusetoetus!N60</f>
        <v>7967</v>
      </c>
      <c r="I58" s="53">
        <f>Asendushooldus!T60</f>
        <v>21978</v>
      </c>
      <c r="J58" s="53">
        <f>'Pikaajaline hooldus'!E60</f>
        <v>79567</v>
      </c>
      <c r="K58" s="53">
        <f>Rahvastikutoimingud!Y60</f>
        <v>145</v>
      </c>
      <c r="L58" s="53">
        <f>'Kohalikud teed'!K60</f>
        <v>91282</v>
      </c>
      <c r="M58" s="53">
        <f>Energiatoetus!W60</f>
        <v>249</v>
      </c>
      <c r="N58" s="53"/>
      <c r="O58" s="54">
        <f t="shared" si="0"/>
        <v>265445</v>
      </c>
    </row>
    <row r="59" spans="1:15" x14ac:dyDescent="0.25">
      <c r="A59" s="50" t="s">
        <v>20</v>
      </c>
      <c r="B59" s="49" t="s">
        <v>215</v>
      </c>
      <c r="C59" s="53">
        <f>Tasandusfond!AE61</f>
        <v>99293</v>
      </c>
      <c r="D59" s="53">
        <f>Lasteaed!G61</f>
        <v>0</v>
      </c>
      <c r="E59" s="53">
        <f>Huvitegevus!U61</f>
        <v>1243</v>
      </c>
      <c r="F59" s="53">
        <f>'Abivajadusega lapsed'!E61</f>
        <v>0</v>
      </c>
      <c r="G59" s="53">
        <f>Toimetulekutoetus!O61</f>
        <v>0</v>
      </c>
      <c r="H59" s="53">
        <f>Matusetoetus!N61</f>
        <v>474</v>
      </c>
      <c r="I59" s="53">
        <f>Asendushooldus!T61</f>
        <v>0</v>
      </c>
      <c r="J59" s="53">
        <f>'Pikaajaline hooldus'!E61</f>
        <v>4341</v>
      </c>
      <c r="K59" s="53">
        <f>Rahvastikutoimingud!Y61</f>
        <v>0</v>
      </c>
      <c r="L59" s="53">
        <f>'Kohalikud teed'!K61</f>
        <v>1180</v>
      </c>
      <c r="M59" s="53">
        <f>Energiatoetus!W61</f>
        <v>855</v>
      </c>
      <c r="N59" s="53"/>
      <c r="O59" s="54">
        <f t="shared" si="0"/>
        <v>107386</v>
      </c>
    </row>
    <row r="60" spans="1:15" x14ac:dyDescent="0.25">
      <c r="A60" s="50" t="s">
        <v>20</v>
      </c>
      <c r="B60" s="49" t="s">
        <v>597</v>
      </c>
      <c r="C60" s="53">
        <f>Tasandusfond!AE62</f>
        <v>2807936</v>
      </c>
      <c r="D60" s="53">
        <f>Lasteaed!G62</f>
        <v>505497</v>
      </c>
      <c r="E60" s="53">
        <f>Huvitegevus!U62</f>
        <v>359316</v>
      </c>
      <c r="F60" s="53">
        <f>'Abivajadusega lapsed'!E62</f>
        <v>59613</v>
      </c>
      <c r="G60" s="53">
        <f>Toimetulekutoetus!O62</f>
        <v>524672</v>
      </c>
      <c r="H60" s="53">
        <f>Matusetoetus!N62</f>
        <v>108152</v>
      </c>
      <c r="I60" s="53">
        <f>Asendushooldus!T62</f>
        <v>292123</v>
      </c>
      <c r="J60" s="53">
        <f>'Pikaajaline hooldus'!E62</f>
        <v>983553</v>
      </c>
      <c r="K60" s="53">
        <f>Rahvastikutoimingud!Y62</f>
        <v>23377</v>
      </c>
      <c r="L60" s="53">
        <f>'Kohalikud teed'!K62</f>
        <v>1246278</v>
      </c>
      <c r="M60" s="53">
        <f>Energiatoetus!W62</f>
        <v>145870</v>
      </c>
      <c r="N60" s="53"/>
      <c r="O60" s="54">
        <f t="shared" si="0"/>
        <v>7056387</v>
      </c>
    </row>
    <row r="61" spans="1:15" x14ac:dyDescent="0.25">
      <c r="A61" s="48" t="s">
        <v>13</v>
      </c>
      <c r="B61" s="49" t="s">
        <v>598</v>
      </c>
      <c r="C61" s="53">
        <f>Tasandusfond!AE63</f>
        <v>2882626</v>
      </c>
      <c r="D61" s="53">
        <f>Lasteaed!G63</f>
        <v>271482</v>
      </c>
      <c r="E61" s="53">
        <f>Huvitegevus!U63</f>
        <v>179330</v>
      </c>
      <c r="F61" s="53">
        <f>'Abivajadusega lapsed'!E63</f>
        <v>40139</v>
      </c>
      <c r="G61" s="53">
        <f>Toimetulekutoetus!O63</f>
        <v>190571</v>
      </c>
      <c r="H61" s="53">
        <f>Matusetoetus!N63</f>
        <v>50308</v>
      </c>
      <c r="I61" s="53">
        <f>Asendushooldus!T63</f>
        <v>375456</v>
      </c>
      <c r="J61" s="53">
        <f>'Pikaajaline hooldus'!E63</f>
        <v>474373</v>
      </c>
      <c r="K61" s="53">
        <f>Rahvastikutoimingud!Y63</f>
        <v>778</v>
      </c>
      <c r="L61" s="53">
        <f>'Kohalikud teed'!K63</f>
        <v>614886</v>
      </c>
      <c r="M61" s="53">
        <f>Energiatoetus!W63</f>
        <v>78779</v>
      </c>
      <c r="N61" s="53"/>
      <c r="O61" s="54">
        <f t="shared" si="0"/>
        <v>5158728</v>
      </c>
    </row>
    <row r="62" spans="1:15" x14ac:dyDescent="0.25">
      <c r="A62" s="48" t="s">
        <v>13</v>
      </c>
      <c r="B62" s="49" t="s">
        <v>198</v>
      </c>
      <c r="C62" s="53">
        <f>Tasandusfond!AE64</f>
        <v>1373780</v>
      </c>
      <c r="D62" s="53">
        <f>Lasteaed!G64</f>
        <v>109860</v>
      </c>
      <c r="E62" s="53">
        <f>Huvitegevus!U64</f>
        <v>112068</v>
      </c>
      <c r="F62" s="53">
        <f>'Abivajadusega lapsed'!E64</f>
        <v>21063</v>
      </c>
      <c r="G62" s="53">
        <f>Toimetulekutoetus!O64</f>
        <v>127301</v>
      </c>
      <c r="H62" s="53">
        <f>Matusetoetus!N64</f>
        <v>19582</v>
      </c>
      <c r="I62" s="53">
        <f>Asendushooldus!T64</f>
        <v>51282</v>
      </c>
      <c r="J62" s="53">
        <f>'Pikaajaline hooldus'!E64</f>
        <v>207396</v>
      </c>
      <c r="K62" s="53">
        <f>Rahvastikutoimingud!Y64</f>
        <v>800</v>
      </c>
      <c r="L62" s="53">
        <f>'Kohalikud teed'!K64</f>
        <v>392113</v>
      </c>
      <c r="M62" s="53">
        <f>Energiatoetus!W64</f>
        <v>95404</v>
      </c>
      <c r="N62" s="53"/>
      <c r="O62" s="54">
        <f t="shared" si="0"/>
        <v>2510649</v>
      </c>
    </row>
    <row r="63" spans="1:15" x14ac:dyDescent="0.25">
      <c r="A63" s="48" t="s">
        <v>13</v>
      </c>
      <c r="B63" s="49" t="s">
        <v>599</v>
      </c>
      <c r="C63" s="53">
        <f>Tasandusfond!AE65</f>
        <v>1597415</v>
      </c>
      <c r="D63" s="53">
        <f>Lasteaed!G65</f>
        <v>68803</v>
      </c>
      <c r="E63" s="53">
        <f>Huvitegevus!U65</f>
        <v>81867</v>
      </c>
      <c r="F63" s="53">
        <f>'Abivajadusega lapsed'!E65</f>
        <v>15499</v>
      </c>
      <c r="G63" s="53">
        <f>Toimetulekutoetus!O65</f>
        <v>62042</v>
      </c>
      <c r="H63" s="53">
        <f>Matusetoetus!N65</f>
        <v>15538</v>
      </c>
      <c r="I63" s="53">
        <f>Asendushooldus!T65</f>
        <v>95098</v>
      </c>
      <c r="J63" s="53">
        <f>'Pikaajaline hooldus'!E65</f>
        <v>132787</v>
      </c>
      <c r="K63" s="53">
        <f>Rahvastikutoimingud!Y65</f>
        <v>476</v>
      </c>
      <c r="L63" s="53">
        <f>'Kohalikud teed'!K65</f>
        <v>167405</v>
      </c>
      <c r="M63" s="53">
        <f>Energiatoetus!W65</f>
        <v>62883</v>
      </c>
      <c r="N63" s="53"/>
      <c r="O63" s="54">
        <f t="shared" si="0"/>
        <v>2299813</v>
      </c>
    </row>
    <row r="64" spans="1:15" x14ac:dyDescent="0.25">
      <c r="A64" s="48" t="s">
        <v>13</v>
      </c>
      <c r="B64" s="49" t="s">
        <v>192</v>
      </c>
      <c r="C64" s="53">
        <f>Tasandusfond!AE66</f>
        <v>681753</v>
      </c>
      <c r="D64" s="53">
        <f>Lasteaed!G66</f>
        <v>65712</v>
      </c>
      <c r="E64" s="53">
        <f>Huvitegevus!U66</f>
        <v>63592</v>
      </c>
      <c r="F64" s="53">
        <f>'Abivajadusega lapsed'!E66</f>
        <v>10333</v>
      </c>
      <c r="G64" s="53">
        <f>Toimetulekutoetus!O66</f>
        <v>17655</v>
      </c>
      <c r="H64" s="53">
        <f>Matusetoetus!N66</f>
        <v>9969</v>
      </c>
      <c r="I64" s="53">
        <f>Asendushooldus!T66</f>
        <v>21062</v>
      </c>
      <c r="J64" s="53">
        <f>'Pikaajaline hooldus'!E66</f>
        <v>87408</v>
      </c>
      <c r="K64" s="53">
        <f>Rahvastikutoimingud!Y66</f>
        <v>393</v>
      </c>
      <c r="L64" s="53">
        <f>'Kohalikud teed'!K66</f>
        <v>65740</v>
      </c>
      <c r="M64" s="53">
        <f>Energiatoetus!W66</f>
        <v>14345</v>
      </c>
      <c r="N64" s="53"/>
      <c r="O64" s="54">
        <f t="shared" si="0"/>
        <v>1037962</v>
      </c>
    </row>
    <row r="65" spans="1:15" x14ac:dyDescent="0.25">
      <c r="A65" s="48" t="s">
        <v>13</v>
      </c>
      <c r="B65" s="49" t="s">
        <v>186</v>
      </c>
      <c r="C65" s="53">
        <f>Tasandusfond!AE67</f>
        <v>631146</v>
      </c>
      <c r="D65" s="53">
        <f>Lasteaed!G67</f>
        <v>57474</v>
      </c>
      <c r="E65" s="53">
        <f>Huvitegevus!U67</f>
        <v>57457</v>
      </c>
      <c r="F65" s="53">
        <f>'Abivajadusega lapsed'!E67</f>
        <v>13115</v>
      </c>
      <c r="G65" s="53">
        <f>Toimetulekutoetus!O67</f>
        <v>19042</v>
      </c>
      <c r="H65" s="53">
        <f>Matusetoetus!N67</f>
        <v>12658</v>
      </c>
      <c r="I65" s="53">
        <f>Asendushooldus!T67</f>
        <v>108974</v>
      </c>
      <c r="J65" s="53">
        <f>'Pikaajaline hooldus'!E67</f>
        <v>102397</v>
      </c>
      <c r="K65" s="53">
        <f>Rahvastikutoimingud!Y67</f>
        <v>205</v>
      </c>
      <c r="L65" s="53">
        <f>'Kohalikud teed'!K67</f>
        <v>164954</v>
      </c>
      <c r="M65" s="53">
        <f>Energiatoetus!W67</f>
        <v>13025</v>
      </c>
      <c r="N65" s="53"/>
      <c r="O65" s="54">
        <f t="shared" si="0"/>
        <v>1180447</v>
      </c>
    </row>
    <row r="66" spans="1:15" x14ac:dyDescent="0.25">
      <c r="A66" s="48" t="s">
        <v>13</v>
      </c>
      <c r="B66" s="49" t="s">
        <v>184</v>
      </c>
      <c r="C66" s="53">
        <f>Tasandusfond!AE68</f>
        <v>1075363</v>
      </c>
      <c r="D66" s="53">
        <f>Lasteaed!G68</f>
        <v>87312</v>
      </c>
      <c r="E66" s="53">
        <f>Huvitegevus!U68</f>
        <v>78359</v>
      </c>
      <c r="F66" s="53">
        <f>'Abivajadusega lapsed'!E68</f>
        <v>3974</v>
      </c>
      <c r="G66" s="53">
        <f>Toimetulekutoetus!O68</f>
        <v>63381</v>
      </c>
      <c r="H66" s="53">
        <f>Matusetoetus!N68</f>
        <v>20736</v>
      </c>
      <c r="I66" s="53">
        <f>Asendushooldus!T68</f>
        <v>112005</v>
      </c>
      <c r="J66" s="53">
        <f>'Pikaajaline hooldus'!E68</f>
        <v>198432</v>
      </c>
      <c r="K66" s="53">
        <f>Rahvastikutoimingud!Y68</f>
        <v>213</v>
      </c>
      <c r="L66" s="53">
        <f>'Kohalikud teed'!K68</f>
        <v>277194</v>
      </c>
      <c r="M66" s="53">
        <f>Energiatoetus!W68</f>
        <v>3468</v>
      </c>
      <c r="N66" s="53"/>
      <c r="O66" s="54">
        <f t="shared" si="0"/>
        <v>1920437</v>
      </c>
    </row>
    <row r="67" spans="1:15" x14ac:dyDescent="0.25">
      <c r="A67" s="48" t="s">
        <v>13</v>
      </c>
      <c r="B67" s="49" t="s">
        <v>174</v>
      </c>
      <c r="C67" s="53">
        <f>Tasandusfond!AE69</f>
        <v>2502997</v>
      </c>
      <c r="D67" s="53">
        <f>Lasteaed!G69</f>
        <v>185356</v>
      </c>
      <c r="E67" s="53">
        <f>Huvitegevus!U69</f>
        <v>134298</v>
      </c>
      <c r="F67" s="53">
        <f>'Abivajadusega lapsed'!E69</f>
        <v>25435</v>
      </c>
      <c r="G67" s="53">
        <f>Toimetulekutoetus!O69</f>
        <v>150246</v>
      </c>
      <c r="H67" s="53">
        <f>Matusetoetus!N69</f>
        <v>22523</v>
      </c>
      <c r="I67" s="53">
        <f>Asendushooldus!T69</f>
        <v>0</v>
      </c>
      <c r="J67" s="53">
        <f>'Pikaajaline hooldus'!E69</f>
        <v>233500</v>
      </c>
      <c r="K67" s="53">
        <f>Rahvastikutoimingud!Y69</f>
        <v>840</v>
      </c>
      <c r="L67" s="53">
        <f>'Kohalikud teed'!K69</f>
        <v>453842</v>
      </c>
      <c r="M67" s="53">
        <f>Energiatoetus!W69</f>
        <v>762</v>
      </c>
      <c r="N67" s="53"/>
      <c r="O67" s="54">
        <f t="shared" ref="O67:O81" si="1">SUM(C67:N67)</f>
        <v>3709799</v>
      </c>
    </row>
    <row r="68" spans="1:15" x14ac:dyDescent="0.25">
      <c r="A68" s="48" t="s">
        <v>13</v>
      </c>
      <c r="B68" s="49" t="s">
        <v>15</v>
      </c>
      <c r="C68" s="53">
        <f>Tasandusfond!AE70</f>
        <v>393668</v>
      </c>
      <c r="D68" s="53">
        <f>Lasteaed!G70</f>
        <v>1356930</v>
      </c>
      <c r="E68" s="53">
        <f>Huvitegevus!U70</f>
        <v>403250</v>
      </c>
      <c r="F68" s="53">
        <f>'Abivajadusega lapsed'!E70</f>
        <v>246798</v>
      </c>
      <c r="G68" s="53">
        <f>Toimetulekutoetus!O70</f>
        <v>2608097</v>
      </c>
      <c r="H68" s="53">
        <f>Matusetoetus!N70</f>
        <v>255131</v>
      </c>
      <c r="I68" s="53">
        <f>Asendushooldus!T70</f>
        <v>1651091</v>
      </c>
      <c r="J68" s="53">
        <f>'Pikaajaline hooldus'!E70</f>
        <v>2790756</v>
      </c>
      <c r="K68" s="53">
        <f>Rahvastikutoimingud!Y70</f>
        <v>144748</v>
      </c>
      <c r="L68" s="53">
        <f>'Kohalikud teed'!K70</f>
        <v>1270127</v>
      </c>
      <c r="M68" s="53">
        <f>Energiatoetus!W70</f>
        <v>491199</v>
      </c>
      <c r="N68" s="53"/>
      <c r="O68" s="54">
        <f t="shared" si="1"/>
        <v>11611795</v>
      </c>
    </row>
    <row r="69" spans="1:15" x14ac:dyDescent="0.25">
      <c r="A69" s="48" t="s">
        <v>10</v>
      </c>
      <c r="B69" s="49" t="s">
        <v>154</v>
      </c>
      <c r="C69" s="53">
        <f>Tasandusfond!AE71</f>
        <v>1062870</v>
      </c>
      <c r="D69" s="53">
        <f>Lasteaed!G71</f>
        <v>44458</v>
      </c>
      <c r="E69" s="53">
        <f>Huvitegevus!U71</f>
        <v>129884</v>
      </c>
      <c r="F69" s="53">
        <f>'Abivajadusega lapsed'!E71</f>
        <v>9538</v>
      </c>
      <c r="G69" s="53">
        <f>Toimetulekutoetus!O71</f>
        <v>166541</v>
      </c>
      <c r="H69" s="53">
        <f>Matusetoetus!N71</f>
        <v>20543</v>
      </c>
      <c r="I69" s="53">
        <f>Asendushooldus!T71</f>
        <v>211537</v>
      </c>
      <c r="J69" s="53">
        <f>'Pikaajaline hooldus'!E71</f>
        <v>210296</v>
      </c>
      <c r="K69" s="53">
        <f>Rahvastikutoimingud!Y71</f>
        <v>514</v>
      </c>
      <c r="L69" s="53">
        <f>'Kohalikud teed'!K71</f>
        <v>229166</v>
      </c>
      <c r="M69" s="53">
        <f>Energiatoetus!W71</f>
        <v>43426</v>
      </c>
      <c r="N69" s="53"/>
      <c r="O69" s="54">
        <f t="shared" si="1"/>
        <v>2128773</v>
      </c>
    </row>
    <row r="70" spans="1:15" x14ac:dyDescent="0.25">
      <c r="A70" s="48" t="s">
        <v>10</v>
      </c>
      <c r="B70" s="49" t="s">
        <v>600</v>
      </c>
      <c r="C70" s="53">
        <f>Tasandusfond!AE72</f>
        <v>953532</v>
      </c>
      <c r="D70" s="53">
        <f>Lasteaed!G72</f>
        <v>82917</v>
      </c>
      <c r="E70" s="53">
        <f>Huvitegevus!U72</f>
        <v>106515</v>
      </c>
      <c r="F70" s="53">
        <f>'Abivajadusega lapsed'!E72</f>
        <v>12717</v>
      </c>
      <c r="G70" s="53">
        <f>Toimetulekutoetus!O72</f>
        <v>325988</v>
      </c>
      <c r="H70" s="53">
        <f>Matusetoetus!N72</f>
        <v>22718</v>
      </c>
      <c r="I70" s="53">
        <f>Asendushooldus!T72</f>
        <v>43956</v>
      </c>
      <c r="J70" s="53">
        <f>'Pikaajaline hooldus'!E72</f>
        <v>213983</v>
      </c>
      <c r="K70" s="53">
        <f>Rahvastikutoimingud!Y72</f>
        <v>228</v>
      </c>
      <c r="L70" s="53">
        <f>'Kohalikud teed'!K72</f>
        <v>228723</v>
      </c>
      <c r="M70" s="53">
        <f>Energiatoetus!W72</f>
        <v>33835</v>
      </c>
      <c r="N70" s="53"/>
      <c r="O70" s="54">
        <f t="shared" si="1"/>
        <v>2025112</v>
      </c>
    </row>
    <row r="71" spans="1:15" x14ac:dyDescent="0.25">
      <c r="A71" s="48" t="s">
        <v>10</v>
      </c>
      <c r="B71" s="49" t="s">
        <v>601</v>
      </c>
      <c r="C71" s="53">
        <f>Tasandusfond!AE73</f>
        <v>4194598</v>
      </c>
      <c r="D71" s="53">
        <f>Lasteaed!G73</f>
        <v>125310</v>
      </c>
      <c r="E71" s="53">
        <f>Huvitegevus!U73</f>
        <v>202154</v>
      </c>
      <c r="F71" s="53">
        <f>'Abivajadusega lapsed'!E73</f>
        <v>44114</v>
      </c>
      <c r="G71" s="53">
        <f>Toimetulekutoetus!O73</f>
        <v>983183</v>
      </c>
      <c r="H71" s="53">
        <f>Matusetoetus!N73</f>
        <v>58428</v>
      </c>
      <c r="I71" s="53">
        <f>Asendushooldus!T73</f>
        <v>423075</v>
      </c>
      <c r="J71" s="53">
        <f>'Pikaajaline hooldus'!E73</f>
        <v>516665</v>
      </c>
      <c r="K71" s="53">
        <f>Rahvastikutoimingud!Y73</f>
        <v>19526</v>
      </c>
      <c r="L71" s="53">
        <f>'Kohalikud teed'!K73</f>
        <v>479469</v>
      </c>
      <c r="M71" s="53">
        <f>Energiatoetus!W73</f>
        <v>64251</v>
      </c>
      <c r="N71" s="53"/>
      <c r="O71" s="54">
        <f t="shared" si="1"/>
        <v>7110773</v>
      </c>
    </row>
    <row r="72" spans="1:15" x14ac:dyDescent="0.25">
      <c r="A72" s="48" t="s">
        <v>6</v>
      </c>
      <c r="B72" s="49" t="s">
        <v>602</v>
      </c>
      <c r="C72" s="53">
        <f>Tasandusfond!AE74</f>
        <v>1633813</v>
      </c>
      <c r="D72" s="53">
        <f>Lasteaed!G74</f>
        <v>70012</v>
      </c>
      <c r="E72" s="53">
        <f>Huvitegevus!U74</f>
        <v>119784</v>
      </c>
      <c r="F72" s="53">
        <f>'Abivajadusega lapsed'!E74</f>
        <v>23050</v>
      </c>
      <c r="G72" s="53">
        <f>Toimetulekutoetus!O74</f>
        <v>130288</v>
      </c>
      <c r="H72" s="53">
        <f>Matusetoetus!N74</f>
        <v>30098</v>
      </c>
      <c r="I72" s="53">
        <f>Asendushooldus!T74</f>
        <v>39989</v>
      </c>
      <c r="J72" s="53">
        <f>'Pikaajaline hooldus'!E74</f>
        <v>292521</v>
      </c>
      <c r="K72" s="53">
        <f>Rahvastikutoimingud!Y74</f>
        <v>466</v>
      </c>
      <c r="L72" s="53">
        <f>'Kohalikud teed'!K74</f>
        <v>311471</v>
      </c>
      <c r="M72" s="53">
        <f>Energiatoetus!W74</f>
        <v>61080</v>
      </c>
      <c r="N72" s="53"/>
      <c r="O72" s="54">
        <f t="shared" si="1"/>
        <v>2712572</v>
      </c>
    </row>
    <row r="73" spans="1:15" x14ac:dyDescent="0.25">
      <c r="A73" s="48" t="s">
        <v>6</v>
      </c>
      <c r="B73" s="49" t="s">
        <v>603</v>
      </c>
      <c r="C73" s="53">
        <f>Tasandusfond!AE75</f>
        <v>1578158</v>
      </c>
      <c r="D73" s="53">
        <f>Lasteaed!G75</f>
        <v>124579</v>
      </c>
      <c r="E73" s="53">
        <f>Huvitegevus!U75</f>
        <v>139923</v>
      </c>
      <c r="F73" s="53">
        <f>'Abivajadusega lapsed'!E75</f>
        <v>17089</v>
      </c>
      <c r="G73" s="53">
        <f>Toimetulekutoetus!O75</f>
        <v>156277</v>
      </c>
      <c r="H73" s="53">
        <f>Matusetoetus!N75</f>
        <v>30051</v>
      </c>
      <c r="I73" s="53">
        <f>Asendushooldus!T75</f>
        <v>103479</v>
      </c>
      <c r="J73" s="53">
        <f>'Pikaajaline hooldus'!E75</f>
        <v>279104</v>
      </c>
      <c r="K73" s="53">
        <f>Rahvastikutoimingud!Y75</f>
        <v>407</v>
      </c>
      <c r="L73" s="53">
        <f>'Kohalikud teed'!K75</f>
        <v>312713</v>
      </c>
      <c r="M73" s="53">
        <f>Energiatoetus!W75</f>
        <v>61863</v>
      </c>
      <c r="N73" s="53"/>
      <c r="O73" s="54">
        <f t="shared" si="1"/>
        <v>2803643</v>
      </c>
    </row>
    <row r="74" spans="1:15" x14ac:dyDescent="0.25">
      <c r="A74" s="48" t="s">
        <v>6</v>
      </c>
      <c r="B74" s="49" t="s">
        <v>117</v>
      </c>
      <c r="C74" s="53">
        <f>Tasandusfond!AE76</f>
        <v>2349241</v>
      </c>
      <c r="D74" s="53">
        <f>Lasteaed!G76</f>
        <v>158824</v>
      </c>
      <c r="E74" s="53">
        <f>Huvitegevus!U76</f>
        <v>201763</v>
      </c>
      <c r="F74" s="53">
        <f>'Abivajadusega lapsed'!E76</f>
        <v>26230</v>
      </c>
      <c r="G74" s="53">
        <f>Toimetulekutoetus!O76</f>
        <v>72761</v>
      </c>
      <c r="H74" s="53">
        <f>Matusetoetus!N76</f>
        <v>48720</v>
      </c>
      <c r="I74" s="53">
        <f>Asendushooldus!T76</f>
        <v>324975</v>
      </c>
      <c r="J74" s="53">
        <f>'Pikaajaline hooldus'!E76</f>
        <v>420349</v>
      </c>
      <c r="K74" s="53">
        <f>Rahvastikutoimingud!Y76</f>
        <v>590</v>
      </c>
      <c r="L74" s="53">
        <f>'Kohalikud teed'!K76</f>
        <v>448208</v>
      </c>
      <c r="M74" s="53">
        <f>Energiatoetus!W76</f>
        <v>116718</v>
      </c>
      <c r="N74" s="53"/>
      <c r="O74" s="54">
        <f t="shared" si="1"/>
        <v>4168379</v>
      </c>
    </row>
    <row r="75" spans="1:15" x14ac:dyDescent="0.25">
      <c r="A75" s="48" t="s">
        <v>6</v>
      </c>
      <c r="B75" s="49" t="s">
        <v>5</v>
      </c>
      <c r="C75" s="53">
        <f>Tasandusfond!AE77</f>
        <v>1686098</v>
      </c>
      <c r="D75" s="53">
        <f>Lasteaed!G77</f>
        <v>308414</v>
      </c>
      <c r="E75" s="53">
        <f>Huvitegevus!U77</f>
        <v>56932</v>
      </c>
      <c r="F75" s="53">
        <f>'Abivajadusega lapsed'!E77</f>
        <v>39345</v>
      </c>
      <c r="G75" s="53">
        <f>Toimetulekutoetus!O77</f>
        <v>256527</v>
      </c>
      <c r="H75" s="53">
        <f>Matusetoetus!N77</f>
        <v>53523</v>
      </c>
      <c r="I75" s="53">
        <f>Asendushooldus!T77</f>
        <v>147435</v>
      </c>
      <c r="J75" s="53">
        <f>'Pikaajaline hooldus'!E77</f>
        <v>596662</v>
      </c>
      <c r="K75" s="53">
        <f>Rahvastikutoimingud!Y77</f>
        <v>40178</v>
      </c>
      <c r="L75" s="53">
        <f>'Kohalikud teed'!K77</f>
        <v>334431</v>
      </c>
      <c r="M75" s="53">
        <f>Energiatoetus!W77</f>
        <v>91818</v>
      </c>
      <c r="N75" s="53"/>
      <c r="O75" s="54">
        <f t="shared" si="1"/>
        <v>3611363</v>
      </c>
    </row>
    <row r="76" spans="1:15" x14ac:dyDescent="0.25">
      <c r="A76" s="48" t="s">
        <v>1</v>
      </c>
      <c r="B76" s="49" t="s">
        <v>114</v>
      </c>
      <c r="C76" s="53">
        <f>Tasandusfond!AE78</f>
        <v>951883</v>
      </c>
      <c r="D76" s="53">
        <f>Lasteaed!G78</f>
        <v>37186</v>
      </c>
      <c r="E76" s="53">
        <f>Huvitegevus!U78</f>
        <v>71069</v>
      </c>
      <c r="F76" s="53">
        <f>'Abivajadusega lapsed'!E78</f>
        <v>9936</v>
      </c>
      <c r="G76" s="53">
        <f>Toimetulekutoetus!O78</f>
        <v>37206</v>
      </c>
      <c r="H76" s="53">
        <f>Matusetoetus!N78</f>
        <v>15930</v>
      </c>
      <c r="I76" s="53">
        <f>Asendushooldus!T78</f>
        <v>39686</v>
      </c>
      <c r="J76" s="53">
        <f>'Pikaajaline hooldus'!E78</f>
        <v>148225</v>
      </c>
      <c r="K76" s="53">
        <f>Rahvastikutoimingud!Y78</f>
        <v>189</v>
      </c>
      <c r="L76" s="53">
        <f>'Kohalikud teed'!K78</f>
        <v>207703</v>
      </c>
      <c r="M76" s="53">
        <f>Energiatoetus!W78</f>
        <v>29252</v>
      </c>
      <c r="N76" s="53"/>
      <c r="O76" s="54">
        <f t="shared" si="1"/>
        <v>1548265</v>
      </c>
    </row>
    <row r="77" spans="1:15" x14ac:dyDescent="0.25">
      <c r="A77" s="48" t="s">
        <v>1</v>
      </c>
      <c r="B77" s="49" t="s">
        <v>102</v>
      </c>
      <c r="C77" s="53">
        <f>Tasandusfond!AE79</f>
        <v>557880</v>
      </c>
      <c r="D77" s="53">
        <f>Lasteaed!G79</f>
        <v>49727</v>
      </c>
      <c r="E77" s="53">
        <f>Huvitegevus!U79</f>
        <v>81901</v>
      </c>
      <c r="F77" s="53">
        <f>'Abivajadusega lapsed'!E79</f>
        <v>6756</v>
      </c>
      <c r="G77" s="53">
        <f>Toimetulekutoetus!O79</f>
        <v>82558</v>
      </c>
      <c r="H77" s="53">
        <f>Matusetoetus!N79</f>
        <v>20184</v>
      </c>
      <c r="I77" s="53">
        <f>Asendushooldus!T79</f>
        <v>150182</v>
      </c>
      <c r="J77" s="53">
        <f>'Pikaajaline hooldus'!E79</f>
        <v>185689</v>
      </c>
      <c r="K77" s="53">
        <f>Rahvastikutoimingud!Y79</f>
        <v>247</v>
      </c>
      <c r="L77" s="53">
        <f>'Kohalikud teed'!K79</f>
        <v>371162</v>
      </c>
      <c r="M77" s="53">
        <f>Energiatoetus!W79</f>
        <v>28988</v>
      </c>
      <c r="N77" s="53"/>
      <c r="O77" s="54">
        <f t="shared" si="1"/>
        <v>1535274</v>
      </c>
    </row>
    <row r="78" spans="1:15" x14ac:dyDescent="0.25">
      <c r="A78" s="48" t="s">
        <v>1</v>
      </c>
      <c r="B78" s="49" t="s">
        <v>604</v>
      </c>
      <c r="C78" s="53">
        <f>Tasandusfond!AE80</f>
        <v>588699</v>
      </c>
      <c r="D78" s="53">
        <f>Lasteaed!G80</f>
        <v>15723</v>
      </c>
      <c r="E78" s="53">
        <f>Huvitegevus!U80</f>
        <v>52574</v>
      </c>
      <c r="F78" s="53">
        <f>'Abivajadusega lapsed'!E80</f>
        <v>1192</v>
      </c>
      <c r="G78" s="53">
        <f>Toimetulekutoetus!O80</f>
        <v>139706</v>
      </c>
      <c r="H78" s="53">
        <f>Matusetoetus!N80</f>
        <v>11789</v>
      </c>
      <c r="I78" s="53">
        <f>Asendushooldus!T80</f>
        <v>87912</v>
      </c>
      <c r="J78" s="53">
        <f>'Pikaajaline hooldus'!E80</f>
        <v>104400</v>
      </c>
      <c r="K78" s="53">
        <f>Rahvastikutoimingud!Y80</f>
        <v>103</v>
      </c>
      <c r="L78" s="53">
        <f>'Kohalikud teed'!K80</f>
        <v>226007</v>
      </c>
      <c r="M78" s="53">
        <f>Energiatoetus!W80</f>
        <v>46406</v>
      </c>
      <c r="N78" s="53"/>
      <c r="O78" s="54">
        <f t="shared" si="1"/>
        <v>1274511</v>
      </c>
    </row>
    <row r="79" spans="1:15" x14ac:dyDescent="0.25">
      <c r="A79" s="48" t="s">
        <v>1</v>
      </c>
      <c r="B79" s="49" t="s">
        <v>92</v>
      </c>
      <c r="C79" s="53">
        <f>Tasandusfond!AE81</f>
        <v>2467832</v>
      </c>
      <c r="D79" s="53">
        <f>Lasteaed!G81</f>
        <v>156881</v>
      </c>
      <c r="E79" s="53">
        <f>Huvitegevus!U81</f>
        <v>189942</v>
      </c>
      <c r="F79" s="53">
        <f>'Abivajadusega lapsed'!E81</f>
        <v>14705</v>
      </c>
      <c r="G79" s="53">
        <f>Toimetulekutoetus!O81</f>
        <v>200154</v>
      </c>
      <c r="H79" s="53">
        <f>Matusetoetus!N81</f>
        <v>35898</v>
      </c>
      <c r="I79" s="53">
        <f>Asendushooldus!T81</f>
        <v>182254</v>
      </c>
      <c r="J79" s="53">
        <f>'Pikaajaline hooldus'!E81</f>
        <v>317203</v>
      </c>
      <c r="K79" s="53">
        <f>Rahvastikutoimingud!Y81</f>
        <v>606</v>
      </c>
      <c r="L79" s="53">
        <f>'Kohalikud teed'!K81</f>
        <v>411626</v>
      </c>
      <c r="M79" s="53">
        <f>Energiatoetus!W81</f>
        <v>47069</v>
      </c>
      <c r="N79" s="53"/>
      <c r="O79" s="54">
        <f t="shared" si="1"/>
        <v>4024170</v>
      </c>
    </row>
    <row r="80" spans="1:15" x14ac:dyDescent="0.25">
      <c r="A80" s="48" t="s">
        <v>1</v>
      </c>
      <c r="B80" s="49" t="s">
        <v>0</v>
      </c>
      <c r="C80" s="53">
        <f>Tasandusfond!AE82</f>
        <v>2186764</v>
      </c>
      <c r="D80" s="53">
        <f>Lasteaed!G82</f>
        <v>281771</v>
      </c>
      <c r="E80" s="53">
        <f>Huvitegevus!U82</f>
        <v>79795</v>
      </c>
      <c r="F80" s="53">
        <f>'Abivajadusega lapsed'!E82</f>
        <v>26230</v>
      </c>
      <c r="G80" s="53">
        <f>Toimetulekutoetus!O82</f>
        <v>561589</v>
      </c>
      <c r="H80" s="53">
        <f>Matusetoetus!N82</f>
        <v>43801</v>
      </c>
      <c r="I80" s="53">
        <f>Asendushooldus!T82</f>
        <v>133096</v>
      </c>
      <c r="J80" s="53">
        <f>'Pikaajaline hooldus'!E82</f>
        <v>416924</v>
      </c>
      <c r="K80" s="53">
        <f>Rahvastikutoimingud!Y82</f>
        <v>23512</v>
      </c>
      <c r="L80" s="53">
        <f>'Kohalikud teed'!K82</f>
        <v>245918</v>
      </c>
      <c r="M80" s="53">
        <f>Energiatoetus!W82</f>
        <v>16464</v>
      </c>
      <c r="N80" s="53"/>
      <c r="O80" s="54">
        <f t="shared" si="1"/>
        <v>4015864</v>
      </c>
    </row>
    <row r="81" spans="1:15" x14ac:dyDescent="0.25">
      <c r="A81" s="287" t="s">
        <v>512</v>
      </c>
      <c r="B81" s="287"/>
      <c r="C81" s="54">
        <f>SUM(C2:C80)</f>
        <v>107370000</v>
      </c>
      <c r="D81" s="54">
        <f t="shared" ref="D81:N81" si="2">SUM(D2:D80)</f>
        <v>15000000</v>
      </c>
      <c r="E81" s="54">
        <f t="shared" si="2"/>
        <v>10250000</v>
      </c>
      <c r="F81" s="54">
        <f t="shared" si="2"/>
        <v>2650000</v>
      </c>
      <c r="G81" s="54">
        <f t="shared" si="2"/>
        <v>35070925</v>
      </c>
      <c r="H81" s="54">
        <f t="shared" si="2"/>
        <v>4000000</v>
      </c>
      <c r="I81" s="54">
        <f t="shared" si="2"/>
        <v>19175447</v>
      </c>
      <c r="J81" s="54">
        <f t="shared" si="2"/>
        <v>39200000</v>
      </c>
      <c r="K81" s="54">
        <f t="shared" si="2"/>
        <v>1326999</v>
      </c>
      <c r="L81" s="54">
        <f t="shared" si="2"/>
        <v>29313000</v>
      </c>
      <c r="M81" s="54">
        <f t="shared" si="2"/>
        <v>10430000</v>
      </c>
      <c r="N81" s="54">
        <f t="shared" si="2"/>
        <v>64385</v>
      </c>
      <c r="O81" s="54">
        <f t="shared" si="1"/>
        <v>273850756</v>
      </c>
    </row>
    <row r="82" spans="1:15" x14ac:dyDescent="0.25">
      <c r="O82" s="2"/>
    </row>
  </sheetData>
  <mergeCells count="1">
    <mergeCell ref="A81:B8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17"/>
  <sheetViews>
    <sheetView workbookViewId="0">
      <pane xSplit="2" ySplit="3" topLeftCell="C179" activePane="bottomRight" state="frozen"/>
      <selection pane="topRight" activeCell="C1" sqref="C1"/>
      <selection pane="bottomLeft" activeCell="A4" sqref="A4"/>
      <selection pane="bottomRight" activeCell="E10" sqref="E10"/>
    </sheetView>
  </sheetViews>
  <sheetFormatPr defaultRowHeight="13.2" x14ac:dyDescent="0.25"/>
  <cols>
    <col min="2" max="3" width="24" bestFit="1" customWidth="1"/>
    <col min="4" max="5" width="15.5546875" bestFit="1" customWidth="1"/>
  </cols>
  <sheetData>
    <row r="1" spans="1:5" x14ac:dyDescent="0.25">
      <c r="A1" s="214" t="s">
        <v>511</v>
      </c>
      <c r="B1" s="270" t="s">
        <v>510</v>
      </c>
      <c r="C1" s="270" t="s">
        <v>510</v>
      </c>
      <c r="D1" s="270" t="s">
        <v>536</v>
      </c>
      <c r="E1" s="270" t="s">
        <v>536</v>
      </c>
    </row>
    <row r="2" spans="1:5" x14ac:dyDescent="0.25">
      <c r="A2" s="214"/>
      <c r="B2" s="294"/>
      <c r="C2" s="294"/>
      <c r="D2" s="294"/>
      <c r="E2" s="294"/>
    </row>
    <row r="3" spans="1:5" x14ac:dyDescent="0.25">
      <c r="A3" s="214"/>
      <c r="B3" s="295"/>
      <c r="C3" s="295"/>
      <c r="D3" s="295"/>
      <c r="E3" s="295"/>
    </row>
    <row r="4" spans="1:5" x14ac:dyDescent="0.25">
      <c r="A4" t="s">
        <v>69</v>
      </c>
      <c r="B4" s="41" t="s">
        <v>501</v>
      </c>
      <c r="C4" s="41" t="s">
        <v>72</v>
      </c>
      <c r="D4" s="41" t="s">
        <v>72</v>
      </c>
      <c r="E4" s="41" t="s">
        <v>587</v>
      </c>
    </row>
    <row r="5" spans="1:5" x14ac:dyDescent="0.25">
      <c r="A5" t="s">
        <v>69</v>
      </c>
      <c r="B5" s="41" t="s">
        <v>500</v>
      </c>
      <c r="C5" s="41" t="s">
        <v>81</v>
      </c>
      <c r="D5" s="41" t="s">
        <v>81</v>
      </c>
      <c r="E5" s="41" t="s">
        <v>81</v>
      </c>
    </row>
    <row r="6" spans="1:5" x14ac:dyDescent="0.25">
      <c r="A6" t="s">
        <v>69</v>
      </c>
      <c r="B6" s="41" t="s">
        <v>499</v>
      </c>
      <c r="C6" s="41" t="s">
        <v>83</v>
      </c>
      <c r="D6" s="41" t="s">
        <v>83</v>
      </c>
      <c r="E6" s="41" t="s">
        <v>83</v>
      </c>
    </row>
    <row r="7" spans="1:5" x14ac:dyDescent="0.25">
      <c r="A7" t="s">
        <v>69</v>
      </c>
      <c r="B7" s="41" t="s">
        <v>498</v>
      </c>
      <c r="C7" s="41" t="s">
        <v>68</v>
      </c>
      <c r="D7" s="41" t="s">
        <v>68</v>
      </c>
      <c r="E7" s="41" t="s">
        <v>68</v>
      </c>
    </row>
    <row r="8" spans="1:5" x14ac:dyDescent="0.25">
      <c r="A8" t="s">
        <v>69</v>
      </c>
      <c r="B8" s="41" t="s">
        <v>497</v>
      </c>
      <c r="C8" s="41" t="s">
        <v>496</v>
      </c>
      <c r="D8" s="41" t="s">
        <v>82</v>
      </c>
      <c r="E8" s="41" t="s">
        <v>605</v>
      </c>
    </row>
    <row r="9" spans="1:5" x14ac:dyDescent="0.25">
      <c r="A9" t="s">
        <v>69</v>
      </c>
      <c r="B9" s="41" t="s">
        <v>495</v>
      </c>
      <c r="C9" s="41" t="s">
        <v>494</v>
      </c>
      <c r="D9" s="41" t="s">
        <v>80</v>
      </c>
      <c r="E9" s="41" t="s">
        <v>464</v>
      </c>
    </row>
    <row r="10" spans="1:5" x14ac:dyDescent="0.25">
      <c r="A10" t="s">
        <v>69</v>
      </c>
      <c r="B10" s="41" t="s">
        <v>493</v>
      </c>
      <c r="C10" s="41" t="s">
        <v>492</v>
      </c>
      <c r="D10" s="41" t="s">
        <v>79</v>
      </c>
      <c r="E10" s="41" t="s">
        <v>490</v>
      </c>
    </row>
    <row r="11" spans="1:5" x14ac:dyDescent="0.25">
      <c r="A11" t="s">
        <v>69</v>
      </c>
      <c r="B11" s="41" t="s">
        <v>491</v>
      </c>
      <c r="C11" s="41" t="s">
        <v>490</v>
      </c>
      <c r="D11" s="41" t="s">
        <v>79</v>
      </c>
      <c r="E11" s="41" t="s">
        <v>490</v>
      </c>
    </row>
    <row r="12" spans="1:5" x14ac:dyDescent="0.25">
      <c r="A12" t="s">
        <v>69</v>
      </c>
      <c r="B12" s="41" t="s">
        <v>489</v>
      </c>
      <c r="C12" s="41" t="s">
        <v>488</v>
      </c>
      <c r="D12" s="41" t="s">
        <v>74</v>
      </c>
      <c r="E12" s="41" t="s">
        <v>488</v>
      </c>
    </row>
    <row r="13" spans="1:5" x14ac:dyDescent="0.25">
      <c r="A13" t="s">
        <v>69</v>
      </c>
      <c r="B13" s="41" t="s">
        <v>487</v>
      </c>
      <c r="C13" s="41" t="s">
        <v>486</v>
      </c>
      <c r="D13" s="41" t="s">
        <v>77</v>
      </c>
      <c r="E13" s="41" t="s">
        <v>486</v>
      </c>
    </row>
    <row r="14" spans="1:5" x14ac:dyDescent="0.25">
      <c r="A14" t="s">
        <v>69</v>
      </c>
      <c r="B14" s="41" t="s">
        <v>485</v>
      </c>
      <c r="C14" s="41" t="s">
        <v>484</v>
      </c>
      <c r="D14" s="41" t="s">
        <v>82</v>
      </c>
      <c r="E14" s="41" t="s">
        <v>605</v>
      </c>
    </row>
    <row r="15" spans="1:5" x14ac:dyDescent="0.25">
      <c r="A15" t="s">
        <v>69</v>
      </c>
      <c r="B15" s="41" t="s">
        <v>483</v>
      </c>
      <c r="C15" s="41" t="s">
        <v>482</v>
      </c>
      <c r="D15" s="41" t="s">
        <v>80</v>
      </c>
      <c r="E15" s="41" t="s">
        <v>464</v>
      </c>
    </row>
    <row r="16" spans="1:5" x14ac:dyDescent="0.25">
      <c r="A16" t="s">
        <v>69</v>
      </c>
      <c r="B16" s="41" t="s">
        <v>481</v>
      </c>
      <c r="C16" s="41" t="s">
        <v>480</v>
      </c>
      <c r="D16" s="41" t="s">
        <v>71</v>
      </c>
      <c r="E16" s="41" t="s">
        <v>480</v>
      </c>
    </row>
    <row r="17" spans="1:5" x14ac:dyDescent="0.25">
      <c r="A17" t="s">
        <v>69</v>
      </c>
      <c r="B17" s="42" t="s">
        <v>479</v>
      </c>
      <c r="C17" s="42" t="s">
        <v>478</v>
      </c>
      <c r="D17" s="41" t="s">
        <v>78</v>
      </c>
      <c r="E17" s="41" t="s">
        <v>478</v>
      </c>
    </row>
    <row r="18" spans="1:5" x14ac:dyDescent="0.25">
      <c r="A18" t="s">
        <v>69</v>
      </c>
      <c r="B18" s="41" t="s">
        <v>477</v>
      </c>
      <c r="C18" s="41" t="s">
        <v>476</v>
      </c>
      <c r="D18" s="41" t="s">
        <v>84</v>
      </c>
      <c r="E18" s="41" t="s">
        <v>476</v>
      </c>
    </row>
    <row r="19" spans="1:5" x14ac:dyDescent="0.25">
      <c r="A19" t="s">
        <v>69</v>
      </c>
      <c r="B19" s="41" t="s">
        <v>475</v>
      </c>
      <c r="C19" s="41" t="s">
        <v>474</v>
      </c>
      <c r="D19" s="41" t="s">
        <v>80</v>
      </c>
      <c r="E19" s="41" t="s">
        <v>464</v>
      </c>
    </row>
    <row r="20" spans="1:5" x14ac:dyDescent="0.25">
      <c r="A20" t="s">
        <v>69</v>
      </c>
      <c r="B20" s="41" t="s">
        <v>473</v>
      </c>
      <c r="C20" s="41" t="s">
        <v>472</v>
      </c>
      <c r="D20" s="41" t="s">
        <v>82</v>
      </c>
      <c r="E20" s="41" t="s">
        <v>605</v>
      </c>
    </row>
    <row r="21" spans="1:5" x14ac:dyDescent="0.25">
      <c r="A21" t="s">
        <v>69</v>
      </c>
      <c r="B21" s="41" t="s">
        <v>471</v>
      </c>
      <c r="C21" s="41" t="s">
        <v>470</v>
      </c>
      <c r="D21" s="41" t="s">
        <v>73</v>
      </c>
      <c r="E21" s="41" t="s">
        <v>470</v>
      </c>
    </row>
    <row r="22" spans="1:5" x14ac:dyDescent="0.25">
      <c r="A22" t="s">
        <v>69</v>
      </c>
      <c r="B22" s="41" t="s">
        <v>469</v>
      </c>
      <c r="C22" s="41" t="s">
        <v>468</v>
      </c>
      <c r="D22" s="41" t="s">
        <v>76</v>
      </c>
      <c r="E22" s="41" t="s">
        <v>468</v>
      </c>
    </row>
    <row r="23" spans="1:5" x14ac:dyDescent="0.25">
      <c r="A23" t="s">
        <v>69</v>
      </c>
      <c r="B23" s="41" t="s">
        <v>467</v>
      </c>
      <c r="C23" s="41" t="s">
        <v>466</v>
      </c>
      <c r="D23" s="41" t="s">
        <v>75</v>
      </c>
      <c r="E23" s="41" t="s">
        <v>466</v>
      </c>
    </row>
    <row r="24" spans="1:5" x14ac:dyDescent="0.25">
      <c r="A24" t="s">
        <v>69</v>
      </c>
      <c r="B24" s="41" t="s">
        <v>465</v>
      </c>
      <c r="C24" s="41" t="s">
        <v>464</v>
      </c>
      <c r="D24" s="41" t="s">
        <v>80</v>
      </c>
      <c r="E24" s="41" t="s">
        <v>464</v>
      </c>
    </row>
    <row r="25" spans="1:5" x14ac:dyDescent="0.25">
      <c r="A25" t="s">
        <v>69</v>
      </c>
      <c r="B25" s="41" t="s">
        <v>463</v>
      </c>
      <c r="C25" s="41" t="s">
        <v>462</v>
      </c>
      <c r="D25" s="41" t="s">
        <v>82</v>
      </c>
      <c r="E25" s="41" t="s">
        <v>605</v>
      </c>
    </row>
    <row r="26" spans="1:5" x14ac:dyDescent="0.25">
      <c r="A26" t="s">
        <v>69</v>
      </c>
      <c r="B26" s="41" t="s">
        <v>461</v>
      </c>
      <c r="C26" s="41" t="s">
        <v>460</v>
      </c>
      <c r="D26" s="41" t="s">
        <v>70</v>
      </c>
      <c r="E26" s="41" t="s">
        <v>460</v>
      </c>
    </row>
    <row r="27" spans="1:5" x14ac:dyDescent="0.25">
      <c r="A27" t="s">
        <v>67</v>
      </c>
      <c r="B27" s="42" t="s">
        <v>459</v>
      </c>
      <c r="C27" s="42" t="s">
        <v>458</v>
      </c>
      <c r="D27" s="41" t="s">
        <v>66</v>
      </c>
      <c r="E27" s="41" t="s">
        <v>591</v>
      </c>
    </row>
    <row r="28" spans="1:5" x14ac:dyDescent="0.25">
      <c r="A28" t="s">
        <v>67</v>
      </c>
      <c r="B28" s="41" t="s">
        <v>457</v>
      </c>
      <c r="C28" s="41" t="s">
        <v>456</v>
      </c>
      <c r="D28" s="41" t="s">
        <v>66</v>
      </c>
      <c r="E28" s="41" t="s">
        <v>591</v>
      </c>
    </row>
    <row r="29" spans="1:5" x14ac:dyDescent="0.25">
      <c r="A29" t="s">
        <v>67</v>
      </c>
      <c r="B29" s="41" t="s">
        <v>455</v>
      </c>
      <c r="C29" s="41" t="s">
        <v>454</v>
      </c>
      <c r="D29" s="41" t="s">
        <v>66</v>
      </c>
      <c r="E29" s="41" t="s">
        <v>591</v>
      </c>
    </row>
    <row r="30" spans="1:5" x14ac:dyDescent="0.25">
      <c r="A30" t="s">
        <v>67</v>
      </c>
      <c r="B30" s="41" t="s">
        <v>453</v>
      </c>
      <c r="C30" s="41" t="s">
        <v>452</v>
      </c>
      <c r="D30" s="41" t="s">
        <v>66</v>
      </c>
      <c r="E30" s="41" t="s">
        <v>591</v>
      </c>
    </row>
    <row r="31" spans="1:5" x14ac:dyDescent="0.25">
      <c r="A31" t="s">
        <v>58</v>
      </c>
      <c r="B31" s="43" t="s">
        <v>451</v>
      </c>
      <c r="C31" s="43" t="s">
        <v>450</v>
      </c>
      <c r="D31" s="41" t="s">
        <v>63</v>
      </c>
      <c r="E31" s="41" t="s">
        <v>426</v>
      </c>
    </row>
    <row r="32" spans="1:5" x14ac:dyDescent="0.25">
      <c r="A32" t="s">
        <v>58</v>
      </c>
      <c r="B32" s="44" t="s">
        <v>449</v>
      </c>
      <c r="C32" s="44" t="s">
        <v>57</v>
      </c>
      <c r="D32" s="41" t="s">
        <v>57</v>
      </c>
      <c r="E32" s="41" t="s">
        <v>57</v>
      </c>
    </row>
    <row r="33" spans="1:5" x14ac:dyDescent="0.25">
      <c r="A33" t="s">
        <v>58</v>
      </c>
      <c r="B33" s="44" t="s">
        <v>448</v>
      </c>
      <c r="C33" s="44" t="s">
        <v>59</v>
      </c>
      <c r="D33" s="41" t="s">
        <v>59</v>
      </c>
      <c r="E33" s="41" t="s">
        <v>59</v>
      </c>
    </row>
    <row r="34" spans="1:5" x14ac:dyDescent="0.25">
      <c r="A34" t="s">
        <v>58</v>
      </c>
      <c r="B34" s="43" t="s">
        <v>447</v>
      </c>
      <c r="C34" s="43" t="s">
        <v>62</v>
      </c>
      <c r="D34" s="41" t="s">
        <v>62</v>
      </c>
      <c r="E34" s="41" t="s">
        <v>62</v>
      </c>
    </row>
    <row r="35" spans="1:5" x14ac:dyDescent="0.25">
      <c r="A35" t="s">
        <v>58</v>
      </c>
      <c r="B35" s="43" t="s">
        <v>446</v>
      </c>
      <c r="C35" s="43" t="s">
        <v>61</v>
      </c>
      <c r="D35" s="41" t="s">
        <v>61</v>
      </c>
      <c r="E35" s="41" t="s">
        <v>61</v>
      </c>
    </row>
    <row r="36" spans="1:5" x14ac:dyDescent="0.25">
      <c r="A36" t="s">
        <v>58</v>
      </c>
      <c r="B36" s="43" t="s">
        <v>445</v>
      </c>
      <c r="C36" s="43" t="s">
        <v>444</v>
      </c>
      <c r="D36" s="41" t="s">
        <v>65</v>
      </c>
      <c r="E36" s="41" t="s">
        <v>592</v>
      </c>
    </row>
    <row r="37" spans="1:5" x14ac:dyDescent="0.25">
      <c r="A37" t="s">
        <v>58</v>
      </c>
      <c r="B37" s="44" t="s">
        <v>443</v>
      </c>
      <c r="C37" s="44" t="s">
        <v>442</v>
      </c>
      <c r="D37" s="41" t="s">
        <v>39</v>
      </c>
      <c r="E37" s="41" t="s">
        <v>322</v>
      </c>
    </row>
    <row r="38" spans="1:5" x14ac:dyDescent="0.25">
      <c r="A38" t="s">
        <v>58</v>
      </c>
      <c r="B38" s="44" t="s">
        <v>441</v>
      </c>
      <c r="C38" s="44" t="s">
        <v>440</v>
      </c>
      <c r="D38" s="41" t="s">
        <v>54</v>
      </c>
      <c r="E38" s="41" t="s">
        <v>593</v>
      </c>
    </row>
    <row r="39" spans="1:5" x14ac:dyDescent="0.25">
      <c r="A39" t="s">
        <v>58</v>
      </c>
      <c r="B39" s="44" t="s">
        <v>439</v>
      </c>
      <c r="C39" s="44" t="s">
        <v>438</v>
      </c>
      <c r="D39" s="41" t="s">
        <v>65</v>
      </c>
      <c r="E39" s="41" t="s">
        <v>592</v>
      </c>
    </row>
    <row r="40" spans="1:5" x14ac:dyDescent="0.25">
      <c r="A40" t="s">
        <v>58</v>
      </c>
      <c r="B40" s="16" t="s">
        <v>437</v>
      </c>
      <c r="C40" s="16" t="s">
        <v>436</v>
      </c>
      <c r="D40" s="41" t="s">
        <v>65</v>
      </c>
      <c r="E40" s="41" t="s">
        <v>592</v>
      </c>
    </row>
    <row r="41" spans="1:5" x14ac:dyDescent="0.25">
      <c r="A41" t="s">
        <v>58</v>
      </c>
      <c r="B41" s="17" t="s">
        <v>435</v>
      </c>
      <c r="C41" s="17" t="s">
        <v>434</v>
      </c>
      <c r="D41" s="41" t="s">
        <v>60</v>
      </c>
      <c r="E41" s="41" t="s">
        <v>434</v>
      </c>
    </row>
    <row r="42" spans="1:5" x14ac:dyDescent="0.25">
      <c r="A42" t="s">
        <v>58</v>
      </c>
      <c r="B42" s="16" t="s">
        <v>433</v>
      </c>
      <c r="C42" s="16" t="s">
        <v>432</v>
      </c>
      <c r="D42" s="41" t="s">
        <v>671</v>
      </c>
      <c r="E42" s="41" t="s">
        <v>64</v>
      </c>
    </row>
    <row r="43" spans="1:5" x14ac:dyDescent="0.25">
      <c r="A43" t="s">
        <v>58</v>
      </c>
      <c r="B43" s="43" t="s">
        <v>431</v>
      </c>
      <c r="C43" s="43" t="s">
        <v>430</v>
      </c>
      <c r="D43" s="41" t="s">
        <v>671</v>
      </c>
      <c r="E43" s="41" t="s">
        <v>64</v>
      </c>
    </row>
    <row r="44" spans="1:5" x14ac:dyDescent="0.25">
      <c r="A44" t="s">
        <v>58</v>
      </c>
      <c r="B44" s="44" t="s">
        <v>429</v>
      </c>
      <c r="C44" s="44" t="s">
        <v>428</v>
      </c>
      <c r="D44" s="41" t="s">
        <v>54</v>
      </c>
      <c r="E44" s="41" t="s">
        <v>593</v>
      </c>
    </row>
    <row r="45" spans="1:5" x14ac:dyDescent="0.25">
      <c r="A45" t="s">
        <v>58</v>
      </c>
      <c r="B45" s="42" t="s">
        <v>427</v>
      </c>
      <c r="C45" s="42" t="s">
        <v>426</v>
      </c>
      <c r="D45" s="41" t="s">
        <v>63</v>
      </c>
      <c r="E45" s="41" t="s">
        <v>426</v>
      </c>
    </row>
    <row r="46" spans="1:5" x14ac:dyDescent="0.25">
      <c r="A46" t="s">
        <v>58</v>
      </c>
      <c r="B46" s="43" t="s">
        <v>425</v>
      </c>
      <c r="C46" s="43" t="s">
        <v>424</v>
      </c>
      <c r="D46" s="41" t="s">
        <v>65</v>
      </c>
      <c r="E46" s="41" t="s">
        <v>592</v>
      </c>
    </row>
    <row r="47" spans="1:5" x14ac:dyDescent="0.25">
      <c r="A47" t="s">
        <v>58</v>
      </c>
      <c r="B47" s="44" t="s">
        <v>423</v>
      </c>
      <c r="C47" s="44" t="s">
        <v>422</v>
      </c>
      <c r="D47" s="41" t="s">
        <v>63</v>
      </c>
      <c r="E47" s="41" t="s">
        <v>426</v>
      </c>
    </row>
    <row r="48" spans="1:5" x14ac:dyDescent="0.25">
      <c r="A48" t="s">
        <v>58</v>
      </c>
      <c r="B48" s="44" t="s">
        <v>421</v>
      </c>
      <c r="C48" s="44" t="s">
        <v>64</v>
      </c>
      <c r="D48" s="41" t="s">
        <v>671</v>
      </c>
      <c r="E48" s="41" t="s">
        <v>64</v>
      </c>
    </row>
    <row r="49" spans="1:5" x14ac:dyDescent="0.25">
      <c r="A49" t="s">
        <v>58</v>
      </c>
      <c r="B49" s="44" t="s">
        <v>420</v>
      </c>
      <c r="C49" s="44" t="s">
        <v>419</v>
      </c>
      <c r="D49" s="41" t="s">
        <v>65</v>
      </c>
      <c r="E49" s="41" t="s">
        <v>592</v>
      </c>
    </row>
    <row r="50" spans="1:5" x14ac:dyDescent="0.25">
      <c r="A50" t="s">
        <v>58</v>
      </c>
      <c r="B50" s="44" t="s">
        <v>418</v>
      </c>
      <c r="C50" s="44" t="s">
        <v>417</v>
      </c>
      <c r="D50" s="41" t="s">
        <v>62</v>
      </c>
      <c r="E50" s="41" t="s">
        <v>62</v>
      </c>
    </row>
    <row r="51" spans="1:5" x14ac:dyDescent="0.25">
      <c r="A51" t="s">
        <v>55</v>
      </c>
      <c r="B51" s="41" t="s">
        <v>416</v>
      </c>
      <c r="C51" s="41" t="s">
        <v>415</v>
      </c>
      <c r="D51" s="41" t="s">
        <v>55</v>
      </c>
      <c r="E51" s="41" t="s">
        <v>409</v>
      </c>
    </row>
    <row r="52" spans="1:5" x14ac:dyDescent="0.25">
      <c r="A52" t="s">
        <v>55</v>
      </c>
      <c r="B52" s="41" t="s">
        <v>414</v>
      </c>
      <c r="C52" s="41" t="s">
        <v>413</v>
      </c>
      <c r="D52" s="41" t="s">
        <v>54</v>
      </c>
      <c r="E52" s="41" t="s">
        <v>593</v>
      </c>
    </row>
    <row r="53" spans="1:5" x14ac:dyDescent="0.25">
      <c r="A53" t="s">
        <v>55</v>
      </c>
      <c r="B53" s="41" t="s">
        <v>412</v>
      </c>
      <c r="C53" s="41" t="s">
        <v>411</v>
      </c>
      <c r="D53" s="41" t="s">
        <v>56</v>
      </c>
      <c r="E53" s="41" t="s">
        <v>397</v>
      </c>
    </row>
    <row r="54" spans="1:5" x14ac:dyDescent="0.25">
      <c r="A54" t="s">
        <v>55</v>
      </c>
      <c r="B54" s="41" t="s">
        <v>410</v>
      </c>
      <c r="C54" s="41" t="s">
        <v>409</v>
      </c>
      <c r="D54" s="41" t="s">
        <v>55</v>
      </c>
      <c r="E54" s="41" t="s">
        <v>409</v>
      </c>
    </row>
    <row r="55" spans="1:5" x14ac:dyDescent="0.25">
      <c r="A55" t="s">
        <v>55</v>
      </c>
      <c r="B55" s="41" t="s">
        <v>408</v>
      </c>
      <c r="C55" s="41" t="s">
        <v>407</v>
      </c>
      <c r="D55" s="41" t="s">
        <v>54</v>
      </c>
      <c r="E55" s="41" t="s">
        <v>593</v>
      </c>
    </row>
    <row r="56" spans="1:5" x14ac:dyDescent="0.25">
      <c r="A56" t="s">
        <v>55</v>
      </c>
      <c r="B56" s="41" t="s">
        <v>406</v>
      </c>
      <c r="C56" s="41" t="s">
        <v>405</v>
      </c>
      <c r="D56" s="41" t="s">
        <v>56</v>
      </c>
      <c r="E56" s="41" t="s">
        <v>397</v>
      </c>
    </row>
    <row r="57" spans="1:5" x14ac:dyDescent="0.25">
      <c r="A57" t="s">
        <v>55</v>
      </c>
      <c r="B57" s="41" t="s">
        <v>404</v>
      </c>
      <c r="C57" s="41" t="s">
        <v>403</v>
      </c>
      <c r="D57" s="41" t="s">
        <v>513</v>
      </c>
      <c r="E57" s="41" t="s">
        <v>184</v>
      </c>
    </row>
    <row r="58" spans="1:5" x14ac:dyDescent="0.25">
      <c r="A58" t="s">
        <v>55</v>
      </c>
      <c r="B58" s="41" t="s">
        <v>402</v>
      </c>
      <c r="C58" s="41" t="s">
        <v>401</v>
      </c>
      <c r="D58" s="41" t="s">
        <v>55</v>
      </c>
      <c r="E58" s="41" t="s">
        <v>409</v>
      </c>
    </row>
    <row r="59" spans="1:5" x14ac:dyDescent="0.25">
      <c r="A59" t="s">
        <v>55</v>
      </c>
      <c r="B59" s="41" t="s">
        <v>400</v>
      </c>
      <c r="C59" s="41" t="s">
        <v>399</v>
      </c>
      <c r="D59" s="41" t="s">
        <v>56</v>
      </c>
      <c r="E59" s="41" t="s">
        <v>397</v>
      </c>
    </row>
    <row r="60" spans="1:5" x14ac:dyDescent="0.25">
      <c r="A60" t="s">
        <v>55</v>
      </c>
      <c r="B60" s="41" t="s">
        <v>398</v>
      </c>
      <c r="C60" s="41" t="s">
        <v>397</v>
      </c>
      <c r="D60" s="41" t="s">
        <v>56</v>
      </c>
      <c r="E60" s="41" t="s">
        <v>397</v>
      </c>
    </row>
    <row r="61" spans="1:5" x14ac:dyDescent="0.25">
      <c r="A61" t="s">
        <v>55</v>
      </c>
      <c r="B61" s="41" t="s">
        <v>396</v>
      </c>
      <c r="C61" s="41" t="s">
        <v>395</v>
      </c>
      <c r="D61" s="41" t="s">
        <v>54</v>
      </c>
      <c r="E61" s="41" t="s">
        <v>593</v>
      </c>
    </row>
    <row r="62" spans="1:5" x14ac:dyDescent="0.25">
      <c r="A62" t="s">
        <v>55</v>
      </c>
      <c r="B62" s="41" t="s">
        <v>394</v>
      </c>
      <c r="C62" s="41" t="s">
        <v>393</v>
      </c>
      <c r="D62" s="41" t="s">
        <v>13</v>
      </c>
      <c r="E62" s="41" t="s">
        <v>174</v>
      </c>
    </row>
    <row r="63" spans="1:5" x14ac:dyDescent="0.25">
      <c r="A63" t="s">
        <v>55</v>
      </c>
      <c r="B63" s="41" t="s">
        <v>392</v>
      </c>
      <c r="C63" s="41" t="s">
        <v>391</v>
      </c>
      <c r="D63" s="41" t="s">
        <v>55</v>
      </c>
      <c r="E63" s="41" t="s">
        <v>409</v>
      </c>
    </row>
    <row r="64" spans="1:5" x14ac:dyDescent="0.25">
      <c r="A64" t="s">
        <v>52</v>
      </c>
      <c r="B64" s="41" t="s">
        <v>390</v>
      </c>
      <c r="C64" s="41" t="s">
        <v>51</v>
      </c>
      <c r="D64" s="41" t="s">
        <v>51</v>
      </c>
      <c r="E64" s="41" t="s">
        <v>51</v>
      </c>
    </row>
    <row r="65" spans="1:5" x14ac:dyDescent="0.25">
      <c r="A65" t="s">
        <v>52</v>
      </c>
      <c r="B65" s="41" t="s">
        <v>389</v>
      </c>
      <c r="C65" s="41" t="s">
        <v>388</v>
      </c>
      <c r="D65" s="41" t="s">
        <v>52</v>
      </c>
      <c r="E65" s="41" t="s">
        <v>594</v>
      </c>
    </row>
    <row r="66" spans="1:5" x14ac:dyDescent="0.25">
      <c r="A66" t="s">
        <v>52</v>
      </c>
      <c r="B66" s="41" t="s">
        <v>387</v>
      </c>
      <c r="C66" s="41" t="s">
        <v>386</v>
      </c>
      <c r="D66" s="41" t="s">
        <v>52</v>
      </c>
      <c r="E66" s="41" t="s">
        <v>594</v>
      </c>
    </row>
    <row r="67" spans="1:5" x14ac:dyDescent="0.25">
      <c r="A67" t="s">
        <v>52</v>
      </c>
      <c r="B67" s="41" t="s">
        <v>385</v>
      </c>
      <c r="C67" s="41" t="s">
        <v>384</v>
      </c>
      <c r="D67" s="41" t="s">
        <v>52</v>
      </c>
      <c r="E67" s="41" t="s">
        <v>594</v>
      </c>
    </row>
    <row r="68" spans="1:5" x14ac:dyDescent="0.25">
      <c r="A68" t="s">
        <v>52</v>
      </c>
      <c r="B68" s="41" t="s">
        <v>383</v>
      </c>
      <c r="C68" s="41" t="s">
        <v>382</v>
      </c>
      <c r="D68" s="41" t="s">
        <v>52</v>
      </c>
      <c r="E68" s="41" t="s">
        <v>594</v>
      </c>
    </row>
    <row r="69" spans="1:5" x14ac:dyDescent="0.25">
      <c r="A69" t="s">
        <v>52</v>
      </c>
      <c r="B69" s="41" t="s">
        <v>381</v>
      </c>
      <c r="C69" s="41" t="s">
        <v>380</v>
      </c>
      <c r="D69" s="41" t="s">
        <v>52</v>
      </c>
      <c r="E69" s="41" t="s">
        <v>594</v>
      </c>
    </row>
    <row r="70" spans="1:5" x14ac:dyDescent="0.25">
      <c r="A70" t="s">
        <v>52</v>
      </c>
      <c r="B70" s="41" t="s">
        <v>379</v>
      </c>
      <c r="C70" s="41" t="s">
        <v>378</v>
      </c>
      <c r="D70" s="41" t="s">
        <v>52</v>
      </c>
      <c r="E70" s="41" t="s">
        <v>594</v>
      </c>
    </row>
    <row r="71" spans="1:5" x14ac:dyDescent="0.25">
      <c r="A71" t="s">
        <v>52</v>
      </c>
      <c r="B71" s="41" t="s">
        <v>377</v>
      </c>
      <c r="C71" s="41" t="s">
        <v>376</v>
      </c>
      <c r="D71" s="41" t="s">
        <v>52</v>
      </c>
      <c r="E71" s="41" t="s">
        <v>594</v>
      </c>
    </row>
    <row r="72" spans="1:5" x14ac:dyDescent="0.25">
      <c r="A72" t="s">
        <v>52</v>
      </c>
      <c r="B72" s="41" t="s">
        <v>375</v>
      </c>
      <c r="C72" s="41" t="s">
        <v>374</v>
      </c>
      <c r="D72" s="41" t="s">
        <v>51</v>
      </c>
      <c r="E72" s="41" t="s">
        <v>51</v>
      </c>
    </row>
    <row r="73" spans="1:5" x14ac:dyDescent="0.25">
      <c r="A73" t="s">
        <v>52</v>
      </c>
      <c r="B73" s="41" t="s">
        <v>373</v>
      </c>
      <c r="C73" s="41" t="s">
        <v>372</v>
      </c>
      <c r="D73" s="41" t="s">
        <v>51</v>
      </c>
      <c r="E73" s="41" t="s">
        <v>51</v>
      </c>
    </row>
    <row r="74" spans="1:5" x14ac:dyDescent="0.25">
      <c r="A74" t="s">
        <v>52</v>
      </c>
      <c r="B74" s="41" t="s">
        <v>371</v>
      </c>
      <c r="C74" s="41" t="s">
        <v>370</v>
      </c>
      <c r="D74" s="41" t="s">
        <v>53</v>
      </c>
      <c r="E74" s="41" t="s">
        <v>370</v>
      </c>
    </row>
    <row r="75" spans="1:5" x14ac:dyDescent="0.25">
      <c r="A75" t="s">
        <v>52</v>
      </c>
      <c r="B75" s="41" t="s">
        <v>369</v>
      </c>
      <c r="C75" s="41" t="s">
        <v>368</v>
      </c>
      <c r="D75" s="41" t="s">
        <v>53</v>
      </c>
      <c r="E75" s="41" t="s">
        <v>370</v>
      </c>
    </row>
    <row r="76" spans="1:5" x14ac:dyDescent="0.25">
      <c r="A76" t="s">
        <v>47</v>
      </c>
      <c r="B76" s="44" t="s">
        <v>367</v>
      </c>
      <c r="C76" s="44" t="s">
        <v>48</v>
      </c>
      <c r="D76" s="41" t="s">
        <v>48</v>
      </c>
      <c r="E76" s="41" t="s">
        <v>48</v>
      </c>
    </row>
    <row r="77" spans="1:5" x14ac:dyDescent="0.25">
      <c r="A77" t="s">
        <v>47</v>
      </c>
      <c r="B77" s="44" t="s">
        <v>366</v>
      </c>
      <c r="C77" s="44" t="s">
        <v>365</v>
      </c>
      <c r="D77" s="41" t="s">
        <v>49</v>
      </c>
      <c r="E77" s="41" t="s">
        <v>595</v>
      </c>
    </row>
    <row r="78" spans="1:5" x14ac:dyDescent="0.25">
      <c r="A78" t="s">
        <v>47</v>
      </c>
      <c r="B78" s="44" t="s">
        <v>364</v>
      </c>
      <c r="C78" s="44" t="s">
        <v>363</v>
      </c>
      <c r="D78" s="41" t="s">
        <v>50</v>
      </c>
      <c r="E78" s="41" t="s">
        <v>353</v>
      </c>
    </row>
    <row r="79" spans="1:5" x14ac:dyDescent="0.25">
      <c r="A79" t="s">
        <v>47</v>
      </c>
      <c r="B79" s="44" t="s">
        <v>362</v>
      </c>
      <c r="C79" s="44" t="s">
        <v>361</v>
      </c>
      <c r="D79" s="41" t="s">
        <v>49</v>
      </c>
      <c r="E79" s="41" t="s">
        <v>595</v>
      </c>
    </row>
    <row r="80" spans="1:5" x14ac:dyDescent="0.25">
      <c r="A80" t="s">
        <v>47</v>
      </c>
      <c r="B80" s="44" t="s">
        <v>360</v>
      </c>
      <c r="C80" s="44" t="s">
        <v>359</v>
      </c>
      <c r="D80" s="41" t="s">
        <v>50</v>
      </c>
      <c r="E80" s="41" t="s">
        <v>353</v>
      </c>
    </row>
    <row r="81" spans="1:5" x14ac:dyDescent="0.25">
      <c r="A81" t="s">
        <v>47</v>
      </c>
      <c r="B81" s="44" t="s">
        <v>358</v>
      </c>
      <c r="C81" s="44" t="s">
        <v>357</v>
      </c>
      <c r="D81" s="41" t="s">
        <v>50</v>
      </c>
      <c r="E81" s="41" t="s">
        <v>353</v>
      </c>
    </row>
    <row r="82" spans="1:5" x14ac:dyDescent="0.25">
      <c r="A82" t="s">
        <v>47</v>
      </c>
      <c r="B82" s="43" t="s">
        <v>356</v>
      </c>
      <c r="C82" s="43" t="s">
        <v>355</v>
      </c>
      <c r="D82" s="41" t="s">
        <v>50</v>
      </c>
      <c r="E82" s="41" t="s">
        <v>353</v>
      </c>
    </row>
    <row r="83" spans="1:5" x14ac:dyDescent="0.25">
      <c r="A83" t="s">
        <v>47</v>
      </c>
      <c r="B83" s="42" t="s">
        <v>354</v>
      </c>
      <c r="C83" s="42" t="s">
        <v>353</v>
      </c>
      <c r="D83" s="41" t="s">
        <v>50</v>
      </c>
      <c r="E83" s="41" t="s">
        <v>353</v>
      </c>
    </row>
    <row r="84" spans="1:5" x14ac:dyDescent="0.25">
      <c r="A84" t="s">
        <v>47</v>
      </c>
      <c r="B84" s="44" t="s">
        <v>352</v>
      </c>
      <c r="C84" s="44" t="s">
        <v>351</v>
      </c>
      <c r="D84" s="41" t="s">
        <v>48</v>
      </c>
      <c r="E84" s="41" t="s">
        <v>48</v>
      </c>
    </row>
    <row r="85" spans="1:5" x14ac:dyDescent="0.25">
      <c r="A85" t="s">
        <v>47</v>
      </c>
      <c r="B85" s="44" t="s">
        <v>350</v>
      </c>
      <c r="C85" s="44" t="s">
        <v>349</v>
      </c>
      <c r="D85" s="41" t="s">
        <v>46</v>
      </c>
      <c r="E85" s="41" t="s">
        <v>349</v>
      </c>
    </row>
    <row r="86" spans="1:5" x14ac:dyDescent="0.25">
      <c r="A86" t="s">
        <v>38</v>
      </c>
      <c r="B86" s="41" t="s">
        <v>348</v>
      </c>
      <c r="C86" s="41" t="s">
        <v>347</v>
      </c>
      <c r="D86" s="41" t="s">
        <v>39</v>
      </c>
      <c r="E86" s="41" t="s">
        <v>322</v>
      </c>
    </row>
    <row r="87" spans="1:5" x14ac:dyDescent="0.25">
      <c r="A87" t="s">
        <v>38</v>
      </c>
      <c r="B87" s="41" t="s">
        <v>346</v>
      </c>
      <c r="C87" s="41" t="s">
        <v>37</v>
      </c>
      <c r="D87" s="41" t="s">
        <v>37</v>
      </c>
      <c r="E87" s="41" t="s">
        <v>37</v>
      </c>
    </row>
    <row r="88" spans="1:5" x14ac:dyDescent="0.25">
      <c r="A88" t="s">
        <v>38</v>
      </c>
      <c r="B88" s="41" t="s">
        <v>345</v>
      </c>
      <c r="C88" s="41" t="s">
        <v>344</v>
      </c>
      <c r="D88" s="41" t="s">
        <v>43</v>
      </c>
      <c r="E88" s="41" t="s">
        <v>344</v>
      </c>
    </row>
    <row r="89" spans="1:5" x14ac:dyDescent="0.25">
      <c r="A89" t="s">
        <v>38</v>
      </c>
      <c r="B89" s="41" t="s">
        <v>343</v>
      </c>
      <c r="C89" s="41" t="s">
        <v>342</v>
      </c>
      <c r="D89" s="41" t="s">
        <v>40</v>
      </c>
      <c r="E89" s="41" t="s">
        <v>342</v>
      </c>
    </row>
    <row r="90" spans="1:5" x14ac:dyDescent="0.25">
      <c r="A90" t="s">
        <v>38</v>
      </c>
      <c r="B90" s="41" t="s">
        <v>341</v>
      </c>
      <c r="C90" s="41" t="s">
        <v>340</v>
      </c>
      <c r="D90" s="41" t="s">
        <v>45</v>
      </c>
      <c r="E90" s="41" t="s">
        <v>324</v>
      </c>
    </row>
    <row r="91" spans="1:5" x14ac:dyDescent="0.25">
      <c r="A91" t="s">
        <v>38</v>
      </c>
      <c r="B91" s="41" t="s">
        <v>339</v>
      </c>
      <c r="C91" s="41" t="s">
        <v>338</v>
      </c>
      <c r="D91" s="41" t="s">
        <v>42</v>
      </c>
      <c r="E91" s="41" t="s">
        <v>320</v>
      </c>
    </row>
    <row r="92" spans="1:5" x14ac:dyDescent="0.25">
      <c r="A92" t="s">
        <v>38</v>
      </c>
      <c r="B92" s="41" t="s">
        <v>337</v>
      </c>
      <c r="C92" s="41" t="s">
        <v>336</v>
      </c>
      <c r="D92" s="41" t="s">
        <v>44</v>
      </c>
      <c r="E92" s="41" t="s">
        <v>336</v>
      </c>
    </row>
    <row r="93" spans="1:5" x14ac:dyDescent="0.25">
      <c r="A93" t="s">
        <v>38</v>
      </c>
      <c r="B93" s="41" t="s">
        <v>335</v>
      </c>
      <c r="C93" s="41" t="s">
        <v>334</v>
      </c>
      <c r="D93" s="41" t="s">
        <v>45</v>
      </c>
      <c r="E93" s="41" t="s">
        <v>324</v>
      </c>
    </row>
    <row r="94" spans="1:5" x14ac:dyDescent="0.25">
      <c r="A94" t="s">
        <v>38</v>
      </c>
      <c r="B94" s="41" t="s">
        <v>333</v>
      </c>
      <c r="C94" s="41" t="s">
        <v>332</v>
      </c>
      <c r="D94" s="41" t="s">
        <v>44</v>
      </c>
      <c r="E94" s="41" t="s">
        <v>336</v>
      </c>
    </row>
    <row r="95" spans="1:5" x14ac:dyDescent="0.25">
      <c r="A95" t="s">
        <v>38</v>
      </c>
      <c r="B95" s="41" t="s">
        <v>331</v>
      </c>
      <c r="C95" s="41" t="s">
        <v>330</v>
      </c>
      <c r="D95" s="41" t="s">
        <v>41</v>
      </c>
      <c r="E95" s="41" t="s">
        <v>328</v>
      </c>
    </row>
    <row r="96" spans="1:5" x14ac:dyDescent="0.25">
      <c r="A96" t="s">
        <v>38</v>
      </c>
      <c r="B96" s="41" t="s">
        <v>329</v>
      </c>
      <c r="C96" s="41" t="s">
        <v>328</v>
      </c>
      <c r="D96" s="41" t="s">
        <v>41</v>
      </c>
      <c r="E96" s="41" t="s">
        <v>328</v>
      </c>
    </row>
    <row r="97" spans="1:5" x14ac:dyDescent="0.25">
      <c r="A97" t="s">
        <v>38</v>
      </c>
      <c r="B97" s="41" t="s">
        <v>327</v>
      </c>
      <c r="C97" s="41" t="s">
        <v>326</v>
      </c>
      <c r="D97" s="41" t="s">
        <v>43</v>
      </c>
      <c r="E97" s="41" t="s">
        <v>344</v>
      </c>
    </row>
    <row r="98" spans="1:5" x14ac:dyDescent="0.25">
      <c r="A98" t="s">
        <v>38</v>
      </c>
      <c r="B98" s="41" t="s">
        <v>325</v>
      </c>
      <c r="C98" s="41" t="s">
        <v>324</v>
      </c>
      <c r="D98" s="41" t="s">
        <v>45</v>
      </c>
      <c r="E98" s="41" t="s">
        <v>324</v>
      </c>
    </row>
    <row r="99" spans="1:5" x14ac:dyDescent="0.25">
      <c r="A99" t="s">
        <v>38</v>
      </c>
      <c r="B99" s="41" t="s">
        <v>323</v>
      </c>
      <c r="C99" s="41" t="s">
        <v>322</v>
      </c>
      <c r="D99" s="41" t="s">
        <v>39</v>
      </c>
      <c r="E99" s="41" t="s">
        <v>322</v>
      </c>
    </row>
    <row r="100" spans="1:5" x14ac:dyDescent="0.25">
      <c r="A100" t="s">
        <v>38</v>
      </c>
      <c r="B100" s="41" t="s">
        <v>321</v>
      </c>
      <c r="C100" s="41" t="s">
        <v>320</v>
      </c>
      <c r="D100" s="41" t="s">
        <v>42</v>
      </c>
      <c r="E100" s="41" t="s">
        <v>320</v>
      </c>
    </row>
    <row r="101" spans="1:5" x14ac:dyDescent="0.25">
      <c r="A101" t="s">
        <v>35</v>
      </c>
      <c r="B101" s="44" t="s">
        <v>319</v>
      </c>
      <c r="C101" s="44" t="s">
        <v>318</v>
      </c>
      <c r="D101" s="41" t="s">
        <v>35</v>
      </c>
      <c r="E101" s="41" t="s">
        <v>304</v>
      </c>
    </row>
    <row r="102" spans="1:5" x14ac:dyDescent="0.25">
      <c r="A102" t="s">
        <v>35</v>
      </c>
      <c r="B102" s="44" t="s">
        <v>317</v>
      </c>
      <c r="C102" s="44" t="s">
        <v>316</v>
      </c>
      <c r="D102" s="41" t="s">
        <v>36</v>
      </c>
      <c r="E102" s="41" t="s">
        <v>316</v>
      </c>
    </row>
    <row r="103" spans="1:5" x14ac:dyDescent="0.25">
      <c r="A103" t="s">
        <v>35</v>
      </c>
      <c r="B103" s="43" t="s">
        <v>315</v>
      </c>
      <c r="C103" s="43" t="s">
        <v>314</v>
      </c>
      <c r="D103" s="41" t="s">
        <v>36</v>
      </c>
      <c r="E103" s="41" t="s">
        <v>316</v>
      </c>
    </row>
    <row r="104" spans="1:5" x14ac:dyDescent="0.25">
      <c r="A104" t="s">
        <v>35</v>
      </c>
      <c r="B104" s="44" t="s">
        <v>313</v>
      </c>
      <c r="C104" s="44" t="s">
        <v>312</v>
      </c>
      <c r="D104" s="41" t="s">
        <v>35</v>
      </c>
      <c r="E104" s="41" t="s">
        <v>304</v>
      </c>
    </row>
    <row r="105" spans="1:5" x14ac:dyDescent="0.25">
      <c r="A105" t="s">
        <v>35</v>
      </c>
      <c r="B105" s="43" t="s">
        <v>311</v>
      </c>
      <c r="C105" s="43" t="s">
        <v>310</v>
      </c>
      <c r="D105" s="41" t="s">
        <v>2</v>
      </c>
      <c r="E105" s="41" t="s">
        <v>604</v>
      </c>
    </row>
    <row r="106" spans="1:5" x14ac:dyDescent="0.25">
      <c r="A106" t="s">
        <v>35</v>
      </c>
      <c r="B106" s="44" t="s">
        <v>309</v>
      </c>
      <c r="C106" s="44" t="s">
        <v>308</v>
      </c>
      <c r="D106" s="41" t="s">
        <v>35</v>
      </c>
      <c r="E106" s="41" t="s">
        <v>304</v>
      </c>
    </row>
    <row r="107" spans="1:5" x14ac:dyDescent="0.25">
      <c r="A107" t="s">
        <v>35</v>
      </c>
      <c r="B107" s="44" t="s">
        <v>307</v>
      </c>
      <c r="C107" s="44" t="s">
        <v>306</v>
      </c>
      <c r="D107" s="41" t="s">
        <v>1</v>
      </c>
      <c r="E107" s="41" t="s">
        <v>92</v>
      </c>
    </row>
    <row r="108" spans="1:5" x14ac:dyDescent="0.25">
      <c r="A108" t="s">
        <v>35</v>
      </c>
      <c r="B108" s="42" t="s">
        <v>305</v>
      </c>
      <c r="C108" s="42" t="s">
        <v>304</v>
      </c>
      <c r="D108" s="41" t="s">
        <v>35</v>
      </c>
      <c r="E108" s="41" t="s">
        <v>304</v>
      </c>
    </row>
    <row r="109" spans="1:5" x14ac:dyDescent="0.25">
      <c r="A109" t="s">
        <v>35</v>
      </c>
      <c r="B109" s="43" t="s">
        <v>303</v>
      </c>
      <c r="C109" s="43" t="s">
        <v>302</v>
      </c>
      <c r="D109" s="41" t="s">
        <v>34</v>
      </c>
      <c r="E109" s="41" t="s">
        <v>302</v>
      </c>
    </row>
    <row r="110" spans="1:5" x14ac:dyDescent="0.25">
      <c r="A110" t="s">
        <v>35</v>
      </c>
      <c r="B110" s="43" t="s">
        <v>301</v>
      </c>
      <c r="C110" s="43" t="s">
        <v>300</v>
      </c>
      <c r="D110" s="41" t="s">
        <v>36</v>
      </c>
      <c r="E110" s="41" t="s">
        <v>316</v>
      </c>
    </row>
    <row r="111" spans="1:5" x14ac:dyDescent="0.25">
      <c r="A111" t="s">
        <v>35</v>
      </c>
      <c r="B111" s="44" t="s">
        <v>299</v>
      </c>
      <c r="C111" s="44" t="s">
        <v>298</v>
      </c>
      <c r="D111" s="41" t="s">
        <v>35</v>
      </c>
      <c r="E111" s="41" t="s">
        <v>304</v>
      </c>
    </row>
    <row r="112" spans="1:5" x14ac:dyDescent="0.25">
      <c r="A112" t="s">
        <v>35</v>
      </c>
      <c r="B112" s="44" t="s">
        <v>297</v>
      </c>
      <c r="C112" s="44" t="s">
        <v>296</v>
      </c>
      <c r="D112" s="41" t="s">
        <v>34</v>
      </c>
      <c r="E112" s="41" t="s">
        <v>302</v>
      </c>
    </row>
    <row r="113" spans="1:5" x14ac:dyDescent="0.25">
      <c r="A113" t="s">
        <v>35</v>
      </c>
      <c r="B113" s="43" t="s">
        <v>295</v>
      </c>
      <c r="C113" s="43" t="s">
        <v>294</v>
      </c>
      <c r="D113" s="41" t="s">
        <v>2</v>
      </c>
      <c r="E113" s="41" t="s">
        <v>604</v>
      </c>
    </row>
    <row r="114" spans="1:5" x14ac:dyDescent="0.25">
      <c r="A114" t="s">
        <v>28</v>
      </c>
      <c r="B114" s="43" t="s">
        <v>293</v>
      </c>
      <c r="C114" s="43" t="s">
        <v>30</v>
      </c>
      <c r="D114" s="41" t="s">
        <v>30</v>
      </c>
      <c r="E114" s="41" t="s">
        <v>30</v>
      </c>
    </row>
    <row r="115" spans="1:5" x14ac:dyDescent="0.25">
      <c r="A115" t="s">
        <v>28</v>
      </c>
      <c r="B115" s="44" t="s">
        <v>292</v>
      </c>
      <c r="C115" s="44" t="s">
        <v>291</v>
      </c>
      <c r="D115" s="41" t="s">
        <v>29</v>
      </c>
      <c r="E115" s="41" t="s">
        <v>265</v>
      </c>
    </row>
    <row r="116" spans="1:5" x14ac:dyDescent="0.25">
      <c r="A116" t="s">
        <v>28</v>
      </c>
      <c r="B116" s="44" t="s">
        <v>290</v>
      </c>
      <c r="C116" s="44" t="s">
        <v>289</v>
      </c>
      <c r="D116" s="41" t="s">
        <v>29</v>
      </c>
      <c r="E116" s="41" t="s">
        <v>265</v>
      </c>
    </row>
    <row r="117" spans="1:5" x14ac:dyDescent="0.25">
      <c r="A117" t="s">
        <v>28</v>
      </c>
      <c r="B117" s="42" t="s">
        <v>288</v>
      </c>
      <c r="C117" s="42" t="s">
        <v>287</v>
      </c>
      <c r="D117" s="41" t="s">
        <v>30</v>
      </c>
      <c r="E117" s="41" t="s">
        <v>30</v>
      </c>
    </row>
    <row r="118" spans="1:5" x14ac:dyDescent="0.25">
      <c r="A118" t="s">
        <v>28</v>
      </c>
      <c r="B118" s="44" t="s">
        <v>286</v>
      </c>
      <c r="C118" s="44" t="s">
        <v>285</v>
      </c>
      <c r="D118" s="41" t="s">
        <v>31</v>
      </c>
      <c r="E118" s="41" t="s">
        <v>596</v>
      </c>
    </row>
    <row r="119" spans="1:5" x14ac:dyDescent="0.25">
      <c r="A119" t="s">
        <v>28</v>
      </c>
      <c r="B119" s="43" t="s">
        <v>284</v>
      </c>
      <c r="C119" s="43" t="s">
        <v>283</v>
      </c>
      <c r="D119" s="41" t="s">
        <v>32</v>
      </c>
      <c r="E119" s="41" t="s">
        <v>283</v>
      </c>
    </row>
    <row r="120" spans="1:5" x14ac:dyDescent="0.25">
      <c r="A120" t="s">
        <v>28</v>
      </c>
      <c r="B120" s="44" t="s">
        <v>282</v>
      </c>
      <c r="C120" s="44" t="s">
        <v>281</v>
      </c>
      <c r="D120" s="41" t="s">
        <v>27</v>
      </c>
      <c r="E120" s="41" t="s">
        <v>281</v>
      </c>
    </row>
    <row r="121" spans="1:5" x14ac:dyDescent="0.25">
      <c r="A121" t="s">
        <v>28</v>
      </c>
      <c r="B121" s="44" t="s">
        <v>280</v>
      </c>
      <c r="C121" s="44" t="s">
        <v>279</v>
      </c>
      <c r="D121" s="41" t="s">
        <v>49</v>
      </c>
      <c r="E121" s="41" t="s">
        <v>595</v>
      </c>
    </row>
    <row r="122" spans="1:5" x14ac:dyDescent="0.25">
      <c r="A122" t="s">
        <v>28</v>
      </c>
      <c r="B122" s="44" t="s">
        <v>278</v>
      </c>
      <c r="C122" s="44" t="s">
        <v>277</v>
      </c>
      <c r="D122" s="41" t="s">
        <v>30</v>
      </c>
      <c r="E122" s="41" t="s">
        <v>30</v>
      </c>
    </row>
    <row r="123" spans="1:5" x14ac:dyDescent="0.25">
      <c r="A123" t="s">
        <v>28</v>
      </c>
      <c r="B123" s="16" t="s">
        <v>276</v>
      </c>
      <c r="C123" s="16" t="s">
        <v>275</v>
      </c>
      <c r="D123" s="41" t="s">
        <v>33</v>
      </c>
      <c r="E123" s="41" t="s">
        <v>275</v>
      </c>
    </row>
    <row r="124" spans="1:5" x14ac:dyDescent="0.25">
      <c r="A124" t="s">
        <v>28</v>
      </c>
      <c r="B124" s="44" t="s">
        <v>274</v>
      </c>
      <c r="C124" s="44" t="s">
        <v>273</v>
      </c>
      <c r="D124" s="41" t="s">
        <v>29</v>
      </c>
      <c r="E124" s="41" t="s">
        <v>265</v>
      </c>
    </row>
    <row r="125" spans="1:5" x14ac:dyDescent="0.25">
      <c r="A125" t="s">
        <v>28</v>
      </c>
      <c r="B125" s="44" t="s">
        <v>272</v>
      </c>
      <c r="C125" s="44" t="s">
        <v>271</v>
      </c>
      <c r="D125" s="41" t="s">
        <v>33</v>
      </c>
      <c r="E125" s="41" t="s">
        <v>275</v>
      </c>
    </row>
    <row r="126" spans="1:5" x14ac:dyDescent="0.25">
      <c r="A126" t="s">
        <v>28</v>
      </c>
      <c r="B126" s="44" t="s">
        <v>270</v>
      </c>
      <c r="C126" s="44" t="s">
        <v>269</v>
      </c>
      <c r="D126" s="41" t="s">
        <v>32</v>
      </c>
      <c r="E126" s="41" t="s">
        <v>283</v>
      </c>
    </row>
    <row r="127" spans="1:5" x14ac:dyDescent="0.25">
      <c r="A127" t="s">
        <v>28</v>
      </c>
      <c r="B127" s="44" t="s">
        <v>268</v>
      </c>
      <c r="C127" s="44" t="s">
        <v>267</v>
      </c>
      <c r="D127" s="41" t="s">
        <v>31</v>
      </c>
      <c r="E127" s="41" t="s">
        <v>596</v>
      </c>
    </row>
    <row r="128" spans="1:5" x14ac:dyDescent="0.25">
      <c r="A128" t="s">
        <v>28</v>
      </c>
      <c r="B128" s="44" t="s">
        <v>266</v>
      </c>
      <c r="C128" s="44" t="s">
        <v>265</v>
      </c>
      <c r="D128" s="41" t="s">
        <v>29</v>
      </c>
      <c r="E128" s="41" t="s">
        <v>265</v>
      </c>
    </row>
    <row r="129" spans="1:5" x14ac:dyDescent="0.25">
      <c r="A129" t="s">
        <v>28</v>
      </c>
      <c r="B129" s="43" t="s">
        <v>264</v>
      </c>
      <c r="C129" s="43" t="s">
        <v>263</v>
      </c>
      <c r="D129" s="41" t="s">
        <v>30</v>
      </c>
      <c r="E129" s="41" t="s">
        <v>30</v>
      </c>
    </row>
    <row r="130" spans="1:5" x14ac:dyDescent="0.25">
      <c r="A130" t="s">
        <v>28</v>
      </c>
      <c r="B130" s="44" t="s">
        <v>262</v>
      </c>
      <c r="C130" s="44" t="s">
        <v>261</v>
      </c>
      <c r="D130" s="41" t="s">
        <v>49</v>
      </c>
      <c r="E130" s="41" t="s">
        <v>595</v>
      </c>
    </row>
    <row r="131" spans="1:5" x14ac:dyDescent="0.25">
      <c r="A131" t="s">
        <v>28</v>
      </c>
      <c r="B131" s="43" t="s">
        <v>260</v>
      </c>
      <c r="C131" s="43" t="s">
        <v>259</v>
      </c>
      <c r="D131" s="41" t="s">
        <v>31</v>
      </c>
      <c r="E131" s="41" t="s">
        <v>596</v>
      </c>
    </row>
    <row r="132" spans="1:5" x14ac:dyDescent="0.25">
      <c r="A132" t="s">
        <v>28</v>
      </c>
      <c r="B132" s="43" t="s">
        <v>258</v>
      </c>
      <c r="C132" s="43" t="s">
        <v>257</v>
      </c>
      <c r="D132" s="41" t="s">
        <v>31</v>
      </c>
      <c r="E132" s="41" t="s">
        <v>596</v>
      </c>
    </row>
    <row r="133" spans="1:5" x14ac:dyDescent="0.25">
      <c r="A133" t="s">
        <v>24</v>
      </c>
      <c r="B133" s="41" t="s">
        <v>256</v>
      </c>
      <c r="C133" s="41" t="s">
        <v>255</v>
      </c>
      <c r="D133" s="41" t="s">
        <v>24</v>
      </c>
      <c r="E133" s="41" t="s">
        <v>239</v>
      </c>
    </row>
    <row r="134" spans="1:5" x14ac:dyDescent="0.25">
      <c r="A134" t="s">
        <v>24</v>
      </c>
      <c r="B134" s="41" t="s">
        <v>254</v>
      </c>
      <c r="C134" s="41" t="s">
        <v>253</v>
      </c>
      <c r="D134" s="41" t="s">
        <v>25</v>
      </c>
      <c r="E134" s="41" t="s">
        <v>249</v>
      </c>
    </row>
    <row r="135" spans="1:5" x14ac:dyDescent="0.25">
      <c r="A135" t="s">
        <v>24</v>
      </c>
      <c r="B135" s="41" t="s">
        <v>252</v>
      </c>
      <c r="C135" s="41" t="s">
        <v>251</v>
      </c>
      <c r="D135" s="41" t="s">
        <v>24</v>
      </c>
      <c r="E135" s="41" t="s">
        <v>239</v>
      </c>
    </row>
    <row r="136" spans="1:5" x14ac:dyDescent="0.25">
      <c r="A136" t="s">
        <v>24</v>
      </c>
      <c r="B136" s="41" t="s">
        <v>250</v>
      </c>
      <c r="C136" s="41" t="s">
        <v>249</v>
      </c>
      <c r="D136" s="41" t="s">
        <v>25</v>
      </c>
      <c r="E136" s="41" t="s">
        <v>249</v>
      </c>
    </row>
    <row r="137" spans="1:5" x14ac:dyDescent="0.25">
      <c r="A137" t="s">
        <v>24</v>
      </c>
      <c r="B137" s="41" t="s">
        <v>248</v>
      </c>
      <c r="C137" s="41" t="s">
        <v>247</v>
      </c>
      <c r="D137" s="41" t="s">
        <v>23</v>
      </c>
      <c r="E137" s="41" t="s">
        <v>247</v>
      </c>
    </row>
    <row r="138" spans="1:5" x14ac:dyDescent="0.25">
      <c r="A138" t="s">
        <v>24</v>
      </c>
      <c r="B138" s="41" t="s">
        <v>246</v>
      </c>
      <c r="C138" s="41" t="s">
        <v>245</v>
      </c>
      <c r="D138" s="41" t="s">
        <v>53</v>
      </c>
      <c r="E138" s="41" t="s">
        <v>370</v>
      </c>
    </row>
    <row r="139" spans="1:5" x14ac:dyDescent="0.25">
      <c r="A139" t="s">
        <v>24</v>
      </c>
      <c r="B139" s="41" t="s">
        <v>244</v>
      </c>
      <c r="C139" s="41" t="s">
        <v>243</v>
      </c>
      <c r="D139" s="41" t="s">
        <v>26</v>
      </c>
      <c r="E139" s="41" t="s">
        <v>243</v>
      </c>
    </row>
    <row r="140" spans="1:5" x14ac:dyDescent="0.25">
      <c r="A140" t="s">
        <v>24</v>
      </c>
      <c r="B140" s="41" t="s">
        <v>242</v>
      </c>
      <c r="C140" s="41" t="s">
        <v>241</v>
      </c>
      <c r="D140" s="41" t="s">
        <v>24</v>
      </c>
      <c r="E140" s="41" t="s">
        <v>239</v>
      </c>
    </row>
    <row r="141" spans="1:5" x14ac:dyDescent="0.25">
      <c r="A141" t="s">
        <v>24</v>
      </c>
      <c r="B141" s="41" t="s">
        <v>240</v>
      </c>
      <c r="C141" s="41" t="s">
        <v>239</v>
      </c>
      <c r="D141" s="41" t="s">
        <v>24</v>
      </c>
      <c r="E141" s="41" t="s">
        <v>239</v>
      </c>
    </row>
    <row r="142" spans="1:5" x14ac:dyDescent="0.25">
      <c r="A142" t="s">
        <v>24</v>
      </c>
      <c r="B142" s="41" t="s">
        <v>238</v>
      </c>
      <c r="C142" s="41" t="s">
        <v>237</v>
      </c>
      <c r="D142" s="41" t="s">
        <v>26</v>
      </c>
      <c r="E142" s="41" t="s">
        <v>243</v>
      </c>
    </row>
    <row r="143" spans="1:5" x14ac:dyDescent="0.25">
      <c r="A143" t="s">
        <v>20</v>
      </c>
      <c r="B143" s="41" t="s">
        <v>236</v>
      </c>
      <c r="C143" s="41" t="s">
        <v>235</v>
      </c>
      <c r="D143" s="41" t="s">
        <v>22</v>
      </c>
      <c r="E143" s="41" t="s">
        <v>597</v>
      </c>
    </row>
    <row r="144" spans="1:5" x14ac:dyDescent="0.25">
      <c r="A144" t="s">
        <v>20</v>
      </c>
      <c r="B144" s="41" t="s">
        <v>234</v>
      </c>
      <c r="C144" s="41" t="s">
        <v>233</v>
      </c>
      <c r="D144" s="41" t="s">
        <v>22</v>
      </c>
      <c r="E144" s="41" t="s">
        <v>597</v>
      </c>
    </row>
    <row r="145" spans="1:5" x14ac:dyDescent="0.25">
      <c r="A145" t="s">
        <v>20</v>
      </c>
      <c r="B145" s="41" t="s">
        <v>232</v>
      </c>
      <c r="C145" s="41" t="s">
        <v>231</v>
      </c>
      <c r="D145" s="41" t="s">
        <v>22</v>
      </c>
      <c r="E145" s="41" t="s">
        <v>597</v>
      </c>
    </row>
    <row r="146" spans="1:5" x14ac:dyDescent="0.25">
      <c r="A146" t="s">
        <v>20</v>
      </c>
      <c r="B146" s="41" t="s">
        <v>230</v>
      </c>
      <c r="C146" s="41" t="s">
        <v>229</v>
      </c>
      <c r="D146" s="41" t="s">
        <v>22</v>
      </c>
      <c r="E146" s="41" t="s">
        <v>597</v>
      </c>
    </row>
    <row r="147" spans="1:5" x14ac:dyDescent="0.25">
      <c r="A147" t="s">
        <v>20</v>
      </c>
      <c r="B147" s="45" t="s">
        <v>228</v>
      </c>
      <c r="C147" s="45" t="s">
        <v>227</v>
      </c>
      <c r="D147" s="41" t="s">
        <v>22</v>
      </c>
      <c r="E147" s="41" t="s">
        <v>597</v>
      </c>
    </row>
    <row r="148" spans="1:5" x14ac:dyDescent="0.25">
      <c r="A148" t="s">
        <v>20</v>
      </c>
      <c r="B148" s="41" t="s">
        <v>226</v>
      </c>
      <c r="C148" s="41" t="s">
        <v>225</v>
      </c>
      <c r="D148" s="41" t="s">
        <v>21</v>
      </c>
      <c r="E148" s="41" t="s">
        <v>225</v>
      </c>
    </row>
    <row r="149" spans="1:5" x14ac:dyDescent="0.25">
      <c r="A149" t="s">
        <v>20</v>
      </c>
      <c r="B149" s="41" t="s">
        <v>224</v>
      </c>
      <c r="C149" s="41" t="s">
        <v>223</v>
      </c>
      <c r="D149" s="41" t="s">
        <v>22</v>
      </c>
      <c r="E149" s="41" t="s">
        <v>597</v>
      </c>
    </row>
    <row r="150" spans="1:5" x14ac:dyDescent="0.25">
      <c r="A150" t="s">
        <v>20</v>
      </c>
      <c r="B150" s="41" t="s">
        <v>222</v>
      </c>
      <c r="C150" s="41" t="s">
        <v>221</v>
      </c>
      <c r="D150" s="41" t="s">
        <v>22</v>
      </c>
      <c r="E150" s="41" t="s">
        <v>597</v>
      </c>
    </row>
    <row r="151" spans="1:5" x14ac:dyDescent="0.25">
      <c r="A151" t="s">
        <v>20</v>
      </c>
      <c r="B151" s="41" t="s">
        <v>220</v>
      </c>
      <c r="C151" s="41" t="s">
        <v>219</v>
      </c>
      <c r="D151" s="41" t="s">
        <v>22</v>
      </c>
      <c r="E151" s="41" t="s">
        <v>597</v>
      </c>
    </row>
    <row r="152" spans="1:5" x14ac:dyDescent="0.25">
      <c r="A152" t="s">
        <v>20</v>
      </c>
      <c r="B152" s="41" t="s">
        <v>218</v>
      </c>
      <c r="C152" s="41" t="s">
        <v>217</v>
      </c>
      <c r="D152" s="41" t="s">
        <v>22</v>
      </c>
      <c r="E152" s="41" t="s">
        <v>597</v>
      </c>
    </row>
    <row r="153" spans="1:5" x14ac:dyDescent="0.25">
      <c r="A153" t="s">
        <v>20</v>
      </c>
      <c r="B153" s="41" t="s">
        <v>216</v>
      </c>
      <c r="C153" s="41" t="s">
        <v>215</v>
      </c>
      <c r="D153" s="41" t="s">
        <v>19</v>
      </c>
      <c r="E153" s="41" t="s">
        <v>215</v>
      </c>
    </row>
    <row r="154" spans="1:5" x14ac:dyDescent="0.25">
      <c r="A154" t="s">
        <v>20</v>
      </c>
      <c r="B154" s="41" t="s">
        <v>214</v>
      </c>
      <c r="C154" s="41" t="s">
        <v>213</v>
      </c>
      <c r="D154" s="41" t="s">
        <v>22</v>
      </c>
      <c r="E154" s="41" t="s">
        <v>597</v>
      </c>
    </row>
    <row r="155" spans="1:5" x14ac:dyDescent="0.25">
      <c r="A155" t="s">
        <v>20</v>
      </c>
      <c r="B155" s="41" t="s">
        <v>212</v>
      </c>
      <c r="C155" s="41" t="s">
        <v>211</v>
      </c>
      <c r="D155" s="41" t="s">
        <v>22</v>
      </c>
      <c r="E155" s="41" t="s">
        <v>597</v>
      </c>
    </row>
    <row r="156" spans="1:5" x14ac:dyDescent="0.25">
      <c r="A156" t="s">
        <v>20</v>
      </c>
      <c r="B156" s="41" t="s">
        <v>210</v>
      </c>
      <c r="C156" s="41" t="s">
        <v>209</v>
      </c>
      <c r="D156" s="41" t="s">
        <v>22</v>
      </c>
      <c r="E156" s="41" t="s">
        <v>597</v>
      </c>
    </row>
    <row r="157" spans="1:5" x14ac:dyDescent="0.25">
      <c r="A157" t="s">
        <v>13</v>
      </c>
      <c r="B157" s="41" t="s">
        <v>208</v>
      </c>
      <c r="C157" s="41" t="s">
        <v>207</v>
      </c>
      <c r="D157" s="41" t="s">
        <v>18</v>
      </c>
      <c r="E157" s="41" t="s">
        <v>598</v>
      </c>
    </row>
    <row r="158" spans="1:5" x14ac:dyDescent="0.25">
      <c r="A158" t="s">
        <v>13</v>
      </c>
      <c r="B158" s="41" t="s">
        <v>206</v>
      </c>
      <c r="C158" s="41" t="s">
        <v>205</v>
      </c>
      <c r="D158" s="41" t="s">
        <v>513</v>
      </c>
      <c r="E158" s="41" t="s">
        <v>184</v>
      </c>
    </row>
    <row r="159" spans="1:5" x14ac:dyDescent="0.25">
      <c r="A159" t="s">
        <v>13</v>
      </c>
      <c r="B159" s="41" t="s">
        <v>204</v>
      </c>
      <c r="C159" s="41" t="s">
        <v>15</v>
      </c>
      <c r="D159" s="41" t="s">
        <v>15</v>
      </c>
      <c r="E159" s="41" t="s">
        <v>15</v>
      </c>
    </row>
    <row r="160" spans="1:5" x14ac:dyDescent="0.25">
      <c r="A160" t="s">
        <v>13</v>
      </c>
      <c r="B160" s="41" t="s">
        <v>203</v>
      </c>
      <c r="C160" s="41" t="s">
        <v>202</v>
      </c>
      <c r="D160" s="41" t="s">
        <v>513</v>
      </c>
      <c r="E160" s="41" t="s">
        <v>184</v>
      </c>
    </row>
    <row r="161" spans="1:5" x14ac:dyDescent="0.25">
      <c r="A161" t="s">
        <v>13</v>
      </c>
      <c r="B161" s="41" t="s">
        <v>201</v>
      </c>
      <c r="C161" s="41" t="s">
        <v>200</v>
      </c>
      <c r="D161" s="41" t="s">
        <v>16</v>
      </c>
      <c r="E161" s="41" t="s">
        <v>599</v>
      </c>
    </row>
    <row r="162" spans="1:5" x14ac:dyDescent="0.25">
      <c r="A162" t="s">
        <v>13</v>
      </c>
      <c r="B162" s="41" t="s">
        <v>199</v>
      </c>
      <c r="C162" s="41" t="s">
        <v>198</v>
      </c>
      <c r="D162" s="41" t="s">
        <v>12</v>
      </c>
      <c r="E162" s="41" t="s">
        <v>198</v>
      </c>
    </row>
    <row r="163" spans="1:5" x14ac:dyDescent="0.25">
      <c r="A163" t="s">
        <v>13</v>
      </c>
      <c r="B163" s="41" t="s">
        <v>197</v>
      </c>
      <c r="C163" s="41" t="s">
        <v>196</v>
      </c>
      <c r="D163" s="41" t="s">
        <v>18</v>
      </c>
      <c r="E163" s="41" t="s">
        <v>598</v>
      </c>
    </row>
    <row r="164" spans="1:5" x14ac:dyDescent="0.25">
      <c r="A164" t="s">
        <v>13</v>
      </c>
      <c r="B164" s="41" t="s">
        <v>195</v>
      </c>
      <c r="C164" s="41" t="s">
        <v>194</v>
      </c>
      <c r="D164" s="41" t="s">
        <v>13</v>
      </c>
      <c r="E164" s="41" t="s">
        <v>174</v>
      </c>
    </row>
    <row r="165" spans="1:5" x14ac:dyDescent="0.25">
      <c r="A165" t="s">
        <v>13</v>
      </c>
      <c r="B165" s="41" t="s">
        <v>193</v>
      </c>
      <c r="C165" s="41" t="s">
        <v>192</v>
      </c>
      <c r="D165" s="41" t="s">
        <v>14</v>
      </c>
      <c r="E165" s="41" t="s">
        <v>192</v>
      </c>
    </row>
    <row r="166" spans="1:5" x14ac:dyDescent="0.25">
      <c r="A166" t="s">
        <v>13</v>
      </c>
      <c r="B166" s="41" t="s">
        <v>191</v>
      </c>
      <c r="C166" s="41" t="s">
        <v>190</v>
      </c>
      <c r="D166" s="41" t="s">
        <v>34</v>
      </c>
      <c r="E166" s="41" t="s">
        <v>302</v>
      </c>
    </row>
    <row r="167" spans="1:5" x14ac:dyDescent="0.25">
      <c r="A167" t="s">
        <v>13</v>
      </c>
      <c r="B167" s="41" t="s">
        <v>189</v>
      </c>
      <c r="C167" s="41" t="s">
        <v>188</v>
      </c>
      <c r="D167" s="41" t="s">
        <v>16</v>
      </c>
      <c r="E167" s="41" t="s">
        <v>599</v>
      </c>
    </row>
    <row r="168" spans="1:5" x14ac:dyDescent="0.25">
      <c r="A168" t="s">
        <v>13</v>
      </c>
      <c r="B168" s="41" t="s">
        <v>187</v>
      </c>
      <c r="C168" s="41" t="s">
        <v>186</v>
      </c>
      <c r="D168" s="41" t="s">
        <v>17</v>
      </c>
      <c r="E168" s="41" t="s">
        <v>186</v>
      </c>
    </row>
    <row r="169" spans="1:5" x14ac:dyDescent="0.25">
      <c r="A169" t="s">
        <v>13</v>
      </c>
      <c r="B169" s="41" t="s">
        <v>185</v>
      </c>
      <c r="C169" s="41" t="s">
        <v>184</v>
      </c>
      <c r="D169" s="41" t="s">
        <v>513</v>
      </c>
      <c r="E169" s="41" t="s">
        <v>184</v>
      </c>
    </row>
    <row r="170" spans="1:5" x14ac:dyDescent="0.25">
      <c r="A170" t="s">
        <v>13</v>
      </c>
      <c r="B170" s="41" t="s">
        <v>183</v>
      </c>
      <c r="C170" s="41" t="s">
        <v>182</v>
      </c>
      <c r="D170" s="41" t="s">
        <v>13</v>
      </c>
      <c r="E170" s="41" t="s">
        <v>174</v>
      </c>
    </row>
    <row r="171" spans="1:5" x14ac:dyDescent="0.25">
      <c r="A171" t="s">
        <v>13</v>
      </c>
      <c r="B171" s="41" t="s">
        <v>181</v>
      </c>
      <c r="C171" s="41" t="s">
        <v>180</v>
      </c>
      <c r="D171" s="41" t="s">
        <v>18</v>
      </c>
      <c r="E171" s="41" t="s">
        <v>598</v>
      </c>
    </row>
    <row r="172" spans="1:5" x14ac:dyDescent="0.25">
      <c r="A172" t="s">
        <v>13</v>
      </c>
      <c r="B172" s="41" t="s">
        <v>179</v>
      </c>
      <c r="C172" s="41" t="s">
        <v>178</v>
      </c>
      <c r="D172" s="41" t="s">
        <v>18</v>
      </c>
      <c r="E172" s="41" t="s">
        <v>598</v>
      </c>
    </row>
    <row r="173" spans="1:5" x14ac:dyDescent="0.25">
      <c r="A173" t="s">
        <v>13</v>
      </c>
      <c r="B173" s="41" t="s">
        <v>177</v>
      </c>
      <c r="C173" s="41" t="s">
        <v>176</v>
      </c>
      <c r="D173" s="41" t="s">
        <v>18</v>
      </c>
      <c r="E173" s="41" t="s">
        <v>598</v>
      </c>
    </row>
    <row r="174" spans="1:5" x14ac:dyDescent="0.25">
      <c r="A174" t="s">
        <v>13</v>
      </c>
      <c r="B174" s="41" t="s">
        <v>175</v>
      </c>
      <c r="C174" s="41" t="s">
        <v>174</v>
      </c>
      <c r="D174" s="41" t="s">
        <v>13</v>
      </c>
      <c r="E174" s="41" t="s">
        <v>174</v>
      </c>
    </row>
    <row r="175" spans="1:5" x14ac:dyDescent="0.25">
      <c r="A175" t="s">
        <v>13</v>
      </c>
      <c r="B175" s="41" t="s">
        <v>173</v>
      </c>
      <c r="C175" s="41" t="s">
        <v>172</v>
      </c>
      <c r="D175" s="41" t="s">
        <v>15</v>
      </c>
      <c r="E175" s="41" t="s">
        <v>15</v>
      </c>
    </row>
    <row r="176" spans="1:5" x14ac:dyDescent="0.25">
      <c r="A176" t="s">
        <v>13</v>
      </c>
      <c r="B176" s="41" t="s">
        <v>171</v>
      </c>
      <c r="C176" s="41" t="s">
        <v>170</v>
      </c>
      <c r="D176" s="41" t="s">
        <v>513</v>
      </c>
      <c r="E176" s="41" t="s">
        <v>184</v>
      </c>
    </row>
    <row r="177" spans="1:5" x14ac:dyDescent="0.25">
      <c r="A177" t="s">
        <v>13</v>
      </c>
      <c r="B177" s="41" t="s">
        <v>169</v>
      </c>
      <c r="C177" s="41" t="s">
        <v>168</v>
      </c>
      <c r="D177" s="41" t="s">
        <v>16</v>
      </c>
      <c r="E177" s="41" t="s">
        <v>599</v>
      </c>
    </row>
    <row r="178" spans="1:5" x14ac:dyDescent="0.25">
      <c r="A178" t="s">
        <v>13</v>
      </c>
      <c r="B178" s="41" t="s">
        <v>167</v>
      </c>
      <c r="C178" s="41" t="s">
        <v>166</v>
      </c>
      <c r="D178" s="41" t="s">
        <v>12</v>
      </c>
      <c r="E178" s="41" t="s">
        <v>198</v>
      </c>
    </row>
    <row r="179" spans="1:5" x14ac:dyDescent="0.25">
      <c r="A179" t="s">
        <v>10</v>
      </c>
      <c r="B179" s="41" t="s">
        <v>165</v>
      </c>
      <c r="C179" s="41" t="s">
        <v>164</v>
      </c>
      <c r="D179" s="41" t="s">
        <v>9</v>
      </c>
      <c r="E179" s="41" t="s">
        <v>600</v>
      </c>
    </row>
    <row r="180" spans="1:5" x14ac:dyDescent="0.25">
      <c r="A180" t="s">
        <v>10</v>
      </c>
      <c r="B180" s="41" t="s">
        <v>163</v>
      </c>
      <c r="C180" s="41" t="s">
        <v>162</v>
      </c>
      <c r="D180" s="41" t="s">
        <v>10</v>
      </c>
      <c r="E180" s="41" t="s">
        <v>601</v>
      </c>
    </row>
    <row r="181" spans="1:5" x14ac:dyDescent="0.25">
      <c r="A181" t="s">
        <v>10</v>
      </c>
      <c r="B181" s="41" t="s">
        <v>161</v>
      </c>
      <c r="C181" s="41" t="s">
        <v>160</v>
      </c>
      <c r="D181" s="41" t="s">
        <v>9</v>
      </c>
      <c r="E181" s="41" t="s">
        <v>600</v>
      </c>
    </row>
    <row r="182" spans="1:5" x14ac:dyDescent="0.25">
      <c r="A182" t="s">
        <v>10</v>
      </c>
      <c r="B182" s="41" t="s">
        <v>159</v>
      </c>
      <c r="C182" s="41" t="s">
        <v>158</v>
      </c>
      <c r="D182" s="41" t="s">
        <v>9</v>
      </c>
      <c r="E182" s="41" t="s">
        <v>600</v>
      </c>
    </row>
    <row r="183" spans="1:5" x14ac:dyDescent="0.25">
      <c r="A183" t="s">
        <v>10</v>
      </c>
      <c r="B183" s="41" t="s">
        <v>157</v>
      </c>
      <c r="C183" s="41" t="s">
        <v>156</v>
      </c>
      <c r="D183" s="41" t="s">
        <v>10</v>
      </c>
      <c r="E183" s="41" t="s">
        <v>601</v>
      </c>
    </row>
    <row r="184" spans="1:5" x14ac:dyDescent="0.25">
      <c r="A184" t="s">
        <v>10</v>
      </c>
      <c r="B184" s="41" t="s">
        <v>155</v>
      </c>
      <c r="C184" s="41" t="s">
        <v>154</v>
      </c>
      <c r="D184" s="41" t="s">
        <v>11</v>
      </c>
      <c r="E184" s="41" t="s">
        <v>154</v>
      </c>
    </row>
    <row r="185" spans="1:5" x14ac:dyDescent="0.25">
      <c r="A185" t="s">
        <v>10</v>
      </c>
      <c r="B185" s="41" t="s">
        <v>153</v>
      </c>
      <c r="C185" s="41" t="s">
        <v>152</v>
      </c>
      <c r="D185" s="41" t="s">
        <v>18</v>
      </c>
      <c r="E185" s="41" t="s">
        <v>598</v>
      </c>
    </row>
    <row r="186" spans="1:5" x14ac:dyDescent="0.25">
      <c r="A186" t="s">
        <v>10</v>
      </c>
      <c r="B186" s="41" t="s">
        <v>151</v>
      </c>
      <c r="C186" s="41" t="s">
        <v>150</v>
      </c>
      <c r="D186" s="41" t="s">
        <v>11</v>
      </c>
      <c r="E186" s="41" t="s">
        <v>154</v>
      </c>
    </row>
    <row r="187" spans="1:5" x14ac:dyDescent="0.25">
      <c r="A187" t="s">
        <v>10</v>
      </c>
      <c r="B187" s="41" t="s">
        <v>149</v>
      </c>
      <c r="C187" s="41" t="s">
        <v>148</v>
      </c>
      <c r="D187" s="41" t="s">
        <v>9</v>
      </c>
      <c r="E187" s="41" t="s">
        <v>600</v>
      </c>
    </row>
    <row r="188" spans="1:5" x14ac:dyDescent="0.25">
      <c r="A188" t="s">
        <v>10</v>
      </c>
      <c r="B188" s="41" t="s">
        <v>147</v>
      </c>
      <c r="C188" s="41" t="s">
        <v>146</v>
      </c>
      <c r="D188" s="41" t="s">
        <v>11</v>
      </c>
      <c r="E188" s="41" t="s">
        <v>154</v>
      </c>
    </row>
    <row r="189" spans="1:5" x14ac:dyDescent="0.25">
      <c r="A189" t="s">
        <v>10</v>
      </c>
      <c r="B189" s="41" t="s">
        <v>145</v>
      </c>
      <c r="C189" s="41" t="s">
        <v>144</v>
      </c>
      <c r="D189" s="41" t="s">
        <v>10</v>
      </c>
      <c r="E189" s="41" t="s">
        <v>601</v>
      </c>
    </row>
    <row r="190" spans="1:5" x14ac:dyDescent="0.25">
      <c r="A190" t="s">
        <v>10</v>
      </c>
      <c r="B190" s="41" t="s">
        <v>143</v>
      </c>
      <c r="C190" s="41" t="s">
        <v>142</v>
      </c>
      <c r="D190" s="41" t="s">
        <v>10</v>
      </c>
      <c r="E190" s="41" t="s">
        <v>601</v>
      </c>
    </row>
    <row r="191" spans="1:5" x14ac:dyDescent="0.25">
      <c r="A191" t="s">
        <v>10</v>
      </c>
      <c r="B191" s="41" t="s">
        <v>141</v>
      </c>
      <c r="C191" s="41" t="s">
        <v>140</v>
      </c>
      <c r="D191" s="41" t="s">
        <v>10</v>
      </c>
      <c r="E191" s="41" t="s">
        <v>601</v>
      </c>
    </row>
    <row r="192" spans="1:5" x14ac:dyDescent="0.25">
      <c r="A192" t="s">
        <v>6</v>
      </c>
      <c r="B192" s="43" t="s">
        <v>139</v>
      </c>
      <c r="C192" s="43" t="s">
        <v>138</v>
      </c>
      <c r="D192" s="41" t="s">
        <v>7</v>
      </c>
      <c r="E192" s="41" t="s">
        <v>602</v>
      </c>
    </row>
    <row r="193" spans="1:5" x14ac:dyDescent="0.25">
      <c r="A193" t="s">
        <v>6</v>
      </c>
      <c r="B193" s="44" t="s">
        <v>137</v>
      </c>
      <c r="C193" s="44" t="s">
        <v>5</v>
      </c>
      <c r="D193" s="41" t="s">
        <v>5</v>
      </c>
      <c r="E193" s="41" t="s">
        <v>5</v>
      </c>
    </row>
    <row r="194" spans="1:5" x14ac:dyDescent="0.25">
      <c r="A194" t="s">
        <v>6</v>
      </c>
      <c r="B194" s="43" t="s">
        <v>136</v>
      </c>
      <c r="C194" s="43" t="s">
        <v>135</v>
      </c>
      <c r="D194" s="41" t="s">
        <v>8</v>
      </c>
      <c r="E194" s="41" t="s">
        <v>603</v>
      </c>
    </row>
    <row r="195" spans="1:5" x14ac:dyDescent="0.25">
      <c r="A195" t="s">
        <v>6</v>
      </c>
      <c r="B195" s="44" t="s">
        <v>134</v>
      </c>
      <c r="C195" s="44" t="s">
        <v>133</v>
      </c>
      <c r="D195" s="41" t="s">
        <v>7</v>
      </c>
      <c r="E195" s="41" t="s">
        <v>602</v>
      </c>
    </row>
    <row r="196" spans="1:5" x14ac:dyDescent="0.25">
      <c r="A196" t="s">
        <v>6</v>
      </c>
      <c r="B196" s="44" t="s">
        <v>132</v>
      </c>
      <c r="C196" s="44" t="s">
        <v>131</v>
      </c>
      <c r="D196" s="41" t="s">
        <v>7</v>
      </c>
      <c r="E196" s="41" t="s">
        <v>602</v>
      </c>
    </row>
    <row r="197" spans="1:5" x14ac:dyDescent="0.25">
      <c r="A197" t="s">
        <v>6</v>
      </c>
      <c r="B197" s="44" t="s">
        <v>130</v>
      </c>
      <c r="C197" s="44" t="s">
        <v>129</v>
      </c>
      <c r="D197" s="41" t="s">
        <v>7</v>
      </c>
      <c r="E197" s="41" t="s">
        <v>602</v>
      </c>
    </row>
    <row r="198" spans="1:5" x14ac:dyDescent="0.25">
      <c r="A198" t="s">
        <v>6</v>
      </c>
      <c r="B198" s="44" t="s">
        <v>128</v>
      </c>
      <c r="C198" s="44" t="s">
        <v>127</v>
      </c>
      <c r="D198" s="41" t="s">
        <v>6</v>
      </c>
      <c r="E198" s="41" t="s">
        <v>117</v>
      </c>
    </row>
    <row r="199" spans="1:5" x14ac:dyDescent="0.25">
      <c r="A199" t="s">
        <v>6</v>
      </c>
      <c r="B199" s="43" t="s">
        <v>126</v>
      </c>
      <c r="C199" s="43" t="s">
        <v>125</v>
      </c>
      <c r="D199" s="41" t="s">
        <v>8</v>
      </c>
      <c r="E199" s="41" t="s">
        <v>603</v>
      </c>
    </row>
    <row r="200" spans="1:5" x14ac:dyDescent="0.25">
      <c r="A200" t="s">
        <v>6</v>
      </c>
      <c r="B200" s="43" t="s">
        <v>124</v>
      </c>
      <c r="C200" s="43" t="s">
        <v>123</v>
      </c>
      <c r="D200" s="41" t="s">
        <v>8</v>
      </c>
      <c r="E200" s="41" t="s">
        <v>603</v>
      </c>
    </row>
    <row r="201" spans="1:5" x14ac:dyDescent="0.25">
      <c r="A201" t="s">
        <v>6</v>
      </c>
      <c r="B201" s="16" t="s">
        <v>122</v>
      </c>
      <c r="C201" s="16" t="s">
        <v>121</v>
      </c>
      <c r="D201" s="41" t="s">
        <v>8</v>
      </c>
      <c r="E201" s="41" t="s">
        <v>603</v>
      </c>
    </row>
    <row r="202" spans="1:5" x14ac:dyDescent="0.25">
      <c r="A202" t="s">
        <v>6</v>
      </c>
      <c r="B202" s="44" t="s">
        <v>120</v>
      </c>
      <c r="C202" s="44" t="s">
        <v>119</v>
      </c>
      <c r="D202" s="41" t="s">
        <v>6</v>
      </c>
      <c r="E202" s="41" t="s">
        <v>117</v>
      </c>
    </row>
    <row r="203" spans="1:5" x14ac:dyDescent="0.25">
      <c r="A203" t="s">
        <v>6</v>
      </c>
      <c r="B203" s="42" t="s">
        <v>118</v>
      </c>
      <c r="C203" s="42" t="s">
        <v>117</v>
      </c>
      <c r="D203" s="41" t="s">
        <v>6</v>
      </c>
      <c r="E203" s="41" t="s">
        <v>117</v>
      </c>
    </row>
    <row r="204" spans="1:5" x14ac:dyDescent="0.25">
      <c r="A204" t="s">
        <v>1</v>
      </c>
      <c r="B204" s="41" t="s">
        <v>116</v>
      </c>
      <c r="C204" s="41" t="s">
        <v>0</v>
      </c>
      <c r="D204" s="41" t="s">
        <v>0</v>
      </c>
      <c r="E204" s="41" t="s">
        <v>0</v>
      </c>
    </row>
    <row r="205" spans="1:5" x14ac:dyDescent="0.25">
      <c r="A205" t="s">
        <v>1</v>
      </c>
      <c r="B205" s="41" t="s">
        <v>115</v>
      </c>
      <c r="C205" s="41" t="s">
        <v>114</v>
      </c>
      <c r="D205" s="41" t="s">
        <v>4</v>
      </c>
      <c r="E205" s="41" t="s">
        <v>114</v>
      </c>
    </row>
    <row r="206" spans="1:5" x14ac:dyDescent="0.25">
      <c r="A206" t="s">
        <v>1</v>
      </c>
      <c r="B206" s="41" t="s">
        <v>113</v>
      </c>
      <c r="C206" s="41" t="s">
        <v>112</v>
      </c>
      <c r="D206" s="41" t="s">
        <v>3</v>
      </c>
      <c r="E206" s="41" t="s">
        <v>102</v>
      </c>
    </row>
    <row r="207" spans="1:5" x14ac:dyDescent="0.25">
      <c r="A207" t="s">
        <v>1</v>
      </c>
      <c r="B207" s="41" t="s">
        <v>111</v>
      </c>
      <c r="C207" s="41" t="s">
        <v>110</v>
      </c>
      <c r="D207" s="41" t="s">
        <v>1</v>
      </c>
      <c r="E207" s="41" t="s">
        <v>92</v>
      </c>
    </row>
    <row r="208" spans="1:5" x14ac:dyDescent="0.25">
      <c r="A208" t="s">
        <v>1</v>
      </c>
      <c r="B208" s="41" t="s">
        <v>109</v>
      </c>
      <c r="C208" s="41" t="s">
        <v>108</v>
      </c>
      <c r="D208" s="41" t="s">
        <v>2</v>
      </c>
      <c r="E208" s="41" t="s">
        <v>604</v>
      </c>
    </row>
    <row r="209" spans="1:5" x14ac:dyDescent="0.25">
      <c r="A209" t="s">
        <v>1</v>
      </c>
      <c r="B209" s="41" t="s">
        <v>107</v>
      </c>
      <c r="C209" s="41" t="s">
        <v>106</v>
      </c>
      <c r="D209" s="41" t="s">
        <v>3</v>
      </c>
      <c r="E209" s="41" t="s">
        <v>102</v>
      </c>
    </row>
    <row r="210" spans="1:5" x14ac:dyDescent="0.25">
      <c r="A210" t="s">
        <v>1</v>
      </c>
      <c r="B210" s="41" t="s">
        <v>105</v>
      </c>
      <c r="C210" s="41" t="s">
        <v>104</v>
      </c>
      <c r="D210" s="41" t="s">
        <v>3</v>
      </c>
      <c r="E210" s="41" t="s">
        <v>102</v>
      </c>
    </row>
    <row r="211" spans="1:5" x14ac:dyDescent="0.25">
      <c r="A211" t="s">
        <v>1</v>
      </c>
      <c r="B211" s="41" t="s">
        <v>103</v>
      </c>
      <c r="C211" s="41" t="s">
        <v>102</v>
      </c>
      <c r="D211" s="41" t="s">
        <v>3</v>
      </c>
      <c r="E211" s="41" t="s">
        <v>102</v>
      </c>
    </row>
    <row r="212" spans="1:5" x14ac:dyDescent="0.25">
      <c r="A212" t="s">
        <v>1</v>
      </c>
      <c r="B212" s="41" t="s">
        <v>101</v>
      </c>
      <c r="C212" s="41" t="s">
        <v>100</v>
      </c>
      <c r="D212" s="41" t="s">
        <v>1</v>
      </c>
      <c r="E212" s="41" t="s">
        <v>92</v>
      </c>
    </row>
    <row r="213" spans="1:5" x14ac:dyDescent="0.25">
      <c r="A213" t="s">
        <v>1</v>
      </c>
      <c r="B213" s="41" t="s">
        <v>99</v>
      </c>
      <c r="C213" s="41" t="s">
        <v>98</v>
      </c>
      <c r="D213" s="41" t="s">
        <v>4</v>
      </c>
      <c r="E213" s="41" t="s">
        <v>114</v>
      </c>
    </row>
    <row r="214" spans="1:5" x14ac:dyDescent="0.25">
      <c r="A214" t="s">
        <v>1</v>
      </c>
      <c r="B214" s="41" t="s">
        <v>97</v>
      </c>
      <c r="C214" s="41" t="s">
        <v>96</v>
      </c>
      <c r="D214" s="41" t="s">
        <v>3</v>
      </c>
      <c r="E214" s="41" t="s">
        <v>102</v>
      </c>
    </row>
    <row r="215" spans="1:5" x14ac:dyDescent="0.25">
      <c r="A215" t="s">
        <v>1</v>
      </c>
      <c r="B215" s="41" t="s">
        <v>95</v>
      </c>
      <c r="C215" s="41" t="s">
        <v>94</v>
      </c>
      <c r="D215" s="41" t="s">
        <v>1</v>
      </c>
      <c r="E215" s="41" t="s">
        <v>92</v>
      </c>
    </row>
    <row r="216" spans="1:5" x14ac:dyDescent="0.25">
      <c r="A216" t="s">
        <v>1</v>
      </c>
      <c r="B216" s="41" t="s">
        <v>93</v>
      </c>
      <c r="C216" s="41" t="s">
        <v>92</v>
      </c>
      <c r="D216" s="41" t="s">
        <v>1</v>
      </c>
      <c r="E216" s="41" t="s">
        <v>92</v>
      </c>
    </row>
    <row r="217" spans="1:5" x14ac:dyDescent="0.25">
      <c r="B217" s="14" t="s">
        <v>91</v>
      </c>
      <c r="C217" s="14" t="s">
        <v>91</v>
      </c>
      <c r="D217" s="41" t="s">
        <v>91</v>
      </c>
      <c r="E217" s="41" t="s">
        <v>91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8"/>
  <sheetViews>
    <sheetView workbookViewId="0">
      <pane xSplit="2" ySplit="3" topLeftCell="C65" activePane="bottomRight" state="frozen"/>
      <selection pane="topRight" activeCell="D1" sqref="D1"/>
      <selection pane="bottomLeft" activeCell="A4" sqref="A4"/>
      <selection pane="bottomRight" activeCell="U1" sqref="U1:U3"/>
    </sheetView>
  </sheetViews>
  <sheetFormatPr defaultRowHeight="13.2" x14ac:dyDescent="0.25"/>
  <cols>
    <col min="1" max="1" width="9.5546875" style="27" bestFit="1" customWidth="1"/>
    <col min="2" max="2" width="19.44140625" style="27" bestFit="1" customWidth="1"/>
    <col min="3" max="3" width="12.33203125" customWidth="1"/>
    <col min="4" max="4" width="12.6640625" bestFit="1" customWidth="1"/>
    <col min="5" max="5" width="10.109375" bestFit="1" customWidth="1"/>
    <col min="6" max="6" width="11.109375" bestFit="1" customWidth="1"/>
    <col min="7" max="7" width="12.6640625" bestFit="1" customWidth="1"/>
    <col min="8" max="8" width="8.109375" customWidth="1"/>
    <col min="10" max="10" width="14.44140625" customWidth="1"/>
    <col min="11" max="11" width="13.88671875" customWidth="1"/>
    <col min="14" max="14" width="18.44140625" customWidth="1"/>
    <col min="17" max="17" width="10" customWidth="1"/>
    <col min="19" max="19" width="12.109375" customWidth="1"/>
    <col min="21" max="22" width="10.109375" bestFit="1" customWidth="1"/>
    <col min="23" max="23" width="9.6640625" bestFit="1" customWidth="1"/>
  </cols>
  <sheetData>
    <row r="1" spans="1:23" ht="49.5" customHeight="1" x14ac:dyDescent="0.25">
      <c r="A1" s="186" t="s">
        <v>511</v>
      </c>
      <c r="B1" s="186" t="s">
        <v>510</v>
      </c>
      <c r="C1" s="205" t="s">
        <v>576</v>
      </c>
      <c r="D1" s="206"/>
      <c r="E1" s="206"/>
      <c r="F1" s="206"/>
      <c r="G1" s="206"/>
      <c r="H1" s="206"/>
      <c r="I1" s="206"/>
      <c r="J1" s="210" t="s">
        <v>820</v>
      </c>
      <c r="K1" s="210" t="s">
        <v>821</v>
      </c>
      <c r="L1" s="210" t="s">
        <v>769</v>
      </c>
      <c r="M1" s="210" t="s">
        <v>822</v>
      </c>
      <c r="N1" s="210" t="s">
        <v>577</v>
      </c>
      <c r="O1" s="212"/>
      <c r="P1" s="212"/>
      <c r="Q1" s="212"/>
      <c r="R1" s="210" t="s">
        <v>578</v>
      </c>
      <c r="S1" s="212"/>
      <c r="T1" s="212"/>
      <c r="U1" s="207" t="s">
        <v>776</v>
      </c>
      <c r="V1" s="210" t="s">
        <v>750</v>
      </c>
      <c r="W1" s="210" t="s">
        <v>534</v>
      </c>
    </row>
    <row r="2" spans="1:23" ht="54" customHeight="1" x14ac:dyDescent="0.25">
      <c r="A2" s="186"/>
      <c r="B2" s="186"/>
      <c r="C2" s="205" t="s">
        <v>759</v>
      </c>
      <c r="D2" s="209" t="s">
        <v>832</v>
      </c>
      <c r="E2" s="209"/>
      <c r="F2" s="209"/>
      <c r="G2" s="196"/>
      <c r="H2" s="196"/>
      <c r="I2" s="196"/>
      <c r="J2" s="211"/>
      <c r="K2" s="211"/>
      <c r="L2" s="211"/>
      <c r="M2" s="212"/>
      <c r="N2" s="137" t="s">
        <v>579</v>
      </c>
      <c r="O2" s="137" t="s">
        <v>580</v>
      </c>
      <c r="P2" s="137" t="s">
        <v>581</v>
      </c>
      <c r="Q2" s="137" t="s">
        <v>512</v>
      </c>
      <c r="R2" s="137" t="s">
        <v>582</v>
      </c>
      <c r="S2" s="137" t="s">
        <v>581</v>
      </c>
      <c r="T2" s="137" t="s">
        <v>512</v>
      </c>
      <c r="U2" s="207"/>
      <c r="V2" s="210"/>
      <c r="W2" s="210"/>
    </row>
    <row r="3" spans="1:23" ht="26.4" x14ac:dyDescent="0.25">
      <c r="A3" s="186"/>
      <c r="B3" s="186"/>
      <c r="C3" s="187"/>
      <c r="D3" s="137" t="s">
        <v>583</v>
      </c>
      <c r="E3" s="137" t="s">
        <v>584</v>
      </c>
      <c r="F3" s="137" t="s">
        <v>508</v>
      </c>
      <c r="G3" s="137" t="s">
        <v>512</v>
      </c>
      <c r="H3" s="137" t="s">
        <v>585</v>
      </c>
      <c r="I3" s="137" t="s">
        <v>526</v>
      </c>
      <c r="J3" s="211"/>
      <c r="K3" s="211"/>
      <c r="L3" s="211"/>
      <c r="M3" s="212"/>
      <c r="N3" s="157">
        <v>0.8</v>
      </c>
      <c r="O3" s="157">
        <v>0.1</v>
      </c>
      <c r="P3" s="157">
        <v>0.1</v>
      </c>
      <c r="Q3" s="157">
        <v>0.5</v>
      </c>
      <c r="R3" s="157">
        <v>0.9</v>
      </c>
      <c r="S3" s="157">
        <v>0.1</v>
      </c>
      <c r="T3" s="157">
        <f>100%-Q3</f>
        <v>0.5</v>
      </c>
      <c r="U3" s="208"/>
      <c r="V3" s="212"/>
      <c r="W3" s="212"/>
    </row>
    <row r="4" spans="1:23" x14ac:dyDescent="0.25">
      <c r="A4" s="28" t="s">
        <v>69</v>
      </c>
      <c r="B4" s="29" t="s">
        <v>490</v>
      </c>
      <c r="C4" s="19">
        <v>6273</v>
      </c>
      <c r="D4" s="19">
        <f>Tasandusfond!F4</f>
        <v>6836317</v>
      </c>
      <c r="E4" s="19">
        <v>240963.65</v>
      </c>
      <c r="F4" s="19">
        <v>365177</v>
      </c>
      <c r="G4" s="19">
        <f>SUM(D4:F4)</f>
        <v>7442457.6500000004</v>
      </c>
      <c r="H4" s="19">
        <f>G4/C4</f>
        <v>1186.4271720070142</v>
      </c>
      <c r="I4" s="59">
        <f>H4/H$83</f>
        <v>0.93994125604501377</v>
      </c>
      <c r="J4" s="18">
        <v>3.34</v>
      </c>
      <c r="K4" s="19">
        <v>179</v>
      </c>
      <c r="L4" s="18">
        <v>943</v>
      </c>
      <c r="M4" s="19">
        <v>35</v>
      </c>
      <c r="N4" s="19">
        <f>ROUND($K4*N$86/$I4,0)</f>
        <v>56186</v>
      </c>
      <c r="O4" s="19">
        <f>ROUND($L4*O$86/$I4,0)</f>
        <v>2567</v>
      </c>
      <c r="P4" s="19">
        <f>ROUND($M4*P$86/$I4,0)</f>
        <v>2087</v>
      </c>
      <c r="Q4" s="19">
        <f>SUM(N4:P4)</f>
        <v>60840</v>
      </c>
      <c r="R4" s="19">
        <f>ROUND($L4*R$86/$I4*$J4,0)</f>
        <v>52972</v>
      </c>
      <c r="S4" s="19">
        <f>ROUND($M4*S$86/$I4*$J4,0)</f>
        <v>4263</v>
      </c>
      <c r="T4" s="19">
        <f>SUM(R4:S4)</f>
        <v>57235</v>
      </c>
      <c r="U4" s="61">
        <f>Q4+T4</f>
        <v>118075</v>
      </c>
      <c r="V4" s="19">
        <v>89397</v>
      </c>
      <c r="W4" s="19">
        <f>U4-V4</f>
        <v>28678</v>
      </c>
    </row>
    <row r="5" spans="1:23" x14ac:dyDescent="0.25">
      <c r="A5" s="28" t="s">
        <v>69</v>
      </c>
      <c r="B5" s="29" t="s">
        <v>488</v>
      </c>
      <c r="C5" s="19">
        <v>16664</v>
      </c>
      <c r="D5" s="19">
        <f>Tasandusfond!F5</f>
        <v>26252009</v>
      </c>
      <c r="E5" s="19">
        <v>1293823.49000001</v>
      </c>
      <c r="F5" s="19">
        <v>0</v>
      </c>
      <c r="G5" s="19">
        <f t="shared" ref="G5:G68" si="0">SUM(D5:F5)</f>
        <v>27545832.49000001</v>
      </c>
      <c r="H5" s="19">
        <f t="shared" ref="H5:H68" si="1">G5/C5</f>
        <v>1653.014431709074</v>
      </c>
      <c r="I5" s="59">
        <f t="shared" ref="I5:I68" si="2">H5/H$83</f>
        <v>1.3095927823136335</v>
      </c>
      <c r="J5" s="18">
        <v>1.99</v>
      </c>
      <c r="K5" s="19">
        <v>49</v>
      </c>
      <c r="L5" s="18">
        <v>3471</v>
      </c>
      <c r="M5" s="19">
        <v>77</v>
      </c>
      <c r="N5" s="19">
        <f t="shared" ref="N5:N68" si="3">ROUND($K5*N$86/$I5,0)</f>
        <v>11039</v>
      </c>
      <c r="O5" s="19">
        <f t="shared" ref="O5:O68" si="4">ROUND($L5*O$86/$I5,0)</f>
        <v>6783</v>
      </c>
      <c r="P5" s="19">
        <f t="shared" ref="P5:P68" si="5">ROUND($M5*P$86/$I5,0)</f>
        <v>3296</v>
      </c>
      <c r="Q5" s="19">
        <f t="shared" ref="Q5:Q68" si="6">SUM(N5:P5)</f>
        <v>21118</v>
      </c>
      <c r="R5" s="19">
        <f t="shared" ref="R5:R68" si="7">ROUND($L5*R$86/$I5*$J5,0)</f>
        <v>83380</v>
      </c>
      <c r="S5" s="19">
        <f t="shared" ref="S5:S68" si="8">ROUND($M5*S$86/$I5*$J5,0)</f>
        <v>4011</v>
      </c>
      <c r="T5" s="19">
        <f t="shared" ref="T5:T68" si="9">SUM(R5:S5)</f>
        <v>87391</v>
      </c>
      <c r="U5" s="61">
        <f t="shared" ref="U5:U68" si="10">Q5+T5</f>
        <v>108509</v>
      </c>
      <c r="V5" s="19">
        <v>109040</v>
      </c>
      <c r="W5" s="19">
        <f t="shared" ref="W5:W68" si="11">U5-V5</f>
        <v>-531</v>
      </c>
    </row>
    <row r="6" spans="1:23" x14ac:dyDescent="0.25">
      <c r="A6" s="28" t="s">
        <v>69</v>
      </c>
      <c r="B6" s="29" t="s">
        <v>486</v>
      </c>
      <c r="C6" s="19">
        <v>6902</v>
      </c>
      <c r="D6" s="19">
        <f>Tasandusfond!F6</f>
        <v>9419926</v>
      </c>
      <c r="E6" s="19">
        <v>1012892.0099999991</v>
      </c>
      <c r="F6" s="19">
        <v>0</v>
      </c>
      <c r="G6" s="19">
        <f t="shared" si="0"/>
        <v>10432818.01</v>
      </c>
      <c r="H6" s="19">
        <f t="shared" si="1"/>
        <v>1511.5644755143437</v>
      </c>
      <c r="I6" s="59">
        <f t="shared" si="2"/>
        <v>1.1975297306319406</v>
      </c>
      <c r="J6" s="18">
        <v>3.85</v>
      </c>
      <c r="K6" s="19">
        <v>29</v>
      </c>
      <c r="L6" s="18">
        <v>1211</v>
      </c>
      <c r="M6" s="19">
        <v>37</v>
      </c>
      <c r="N6" s="19">
        <f t="shared" si="3"/>
        <v>7145</v>
      </c>
      <c r="O6" s="19">
        <f t="shared" si="4"/>
        <v>2588</v>
      </c>
      <c r="P6" s="19">
        <f t="shared" si="5"/>
        <v>1732</v>
      </c>
      <c r="Q6" s="19">
        <f t="shared" si="6"/>
        <v>11465</v>
      </c>
      <c r="R6" s="19">
        <f t="shared" si="7"/>
        <v>61547</v>
      </c>
      <c r="S6" s="19">
        <f t="shared" si="8"/>
        <v>4078</v>
      </c>
      <c r="T6" s="19">
        <f t="shared" si="9"/>
        <v>65625</v>
      </c>
      <c r="U6" s="61">
        <f t="shared" si="10"/>
        <v>77090</v>
      </c>
      <c r="V6" s="19">
        <v>72653</v>
      </c>
      <c r="W6" s="19">
        <f t="shared" si="11"/>
        <v>4437</v>
      </c>
    </row>
    <row r="7" spans="1:23" x14ac:dyDescent="0.25">
      <c r="A7" s="28" t="s">
        <v>69</v>
      </c>
      <c r="B7" s="29" t="s">
        <v>81</v>
      </c>
      <c r="C7" s="19">
        <v>9965</v>
      </c>
      <c r="D7" s="19">
        <f>Tasandusfond!F7</f>
        <v>13275127</v>
      </c>
      <c r="E7" s="19">
        <v>151262.60999999999</v>
      </c>
      <c r="F7" s="19">
        <v>0</v>
      </c>
      <c r="G7" s="19">
        <f t="shared" si="0"/>
        <v>13426389.609999999</v>
      </c>
      <c r="H7" s="19">
        <f t="shared" si="1"/>
        <v>1347.3547024586051</v>
      </c>
      <c r="I7" s="59">
        <f t="shared" si="2"/>
        <v>1.0674353228312692</v>
      </c>
      <c r="J7" s="18">
        <v>0</v>
      </c>
      <c r="K7" s="19">
        <v>105</v>
      </c>
      <c r="L7" s="18">
        <v>1876</v>
      </c>
      <c r="M7" s="19">
        <v>67</v>
      </c>
      <c r="N7" s="19">
        <f t="shared" si="3"/>
        <v>29022</v>
      </c>
      <c r="O7" s="19">
        <f t="shared" si="4"/>
        <v>4498</v>
      </c>
      <c r="P7" s="19">
        <f t="shared" si="5"/>
        <v>3518</v>
      </c>
      <c r="Q7" s="19">
        <f t="shared" si="6"/>
        <v>37038</v>
      </c>
      <c r="R7" s="19">
        <f t="shared" si="7"/>
        <v>0</v>
      </c>
      <c r="S7" s="19">
        <f t="shared" si="8"/>
        <v>0</v>
      </c>
      <c r="T7" s="19">
        <f t="shared" si="9"/>
        <v>0</v>
      </c>
      <c r="U7" s="61">
        <f t="shared" si="10"/>
        <v>37038</v>
      </c>
      <c r="V7" s="19">
        <v>24251</v>
      </c>
      <c r="W7" s="19">
        <f t="shared" si="11"/>
        <v>12787</v>
      </c>
    </row>
    <row r="8" spans="1:23" x14ac:dyDescent="0.25">
      <c r="A8" s="28" t="s">
        <v>69</v>
      </c>
      <c r="B8" s="29" t="s">
        <v>480</v>
      </c>
      <c r="C8" s="19">
        <v>6157</v>
      </c>
      <c r="D8" s="19">
        <f>Tasandusfond!F8</f>
        <v>9795487</v>
      </c>
      <c r="E8" s="19">
        <v>208760.68000000098</v>
      </c>
      <c r="F8" s="19">
        <v>0</v>
      </c>
      <c r="G8" s="19">
        <f t="shared" si="0"/>
        <v>10004247.680000002</v>
      </c>
      <c r="H8" s="19">
        <f t="shared" si="1"/>
        <v>1624.8575085268803</v>
      </c>
      <c r="I8" s="59">
        <f t="shared" si="2"/>
        <v>1.2872855945092079</v>
      </c>
      <c r="J8" s="18">
        <v>3</v>
      </c>
      <c r="K8" s="19">
        <v>10</v>
      </c>
      <c r="L8" s="18">
        <v>1328</v>
      </c>
      <c r="M8" s="19">
        <v>43</v>
      </c>
      <c r="N8" s="19">
        <f t="shared" si="3"/>
        <v>2292</v>
      </c>
      <c r="O8" s="19">
        <f t="shared" si="4"/>
        <v>2640</v>
      </c>
      <c r="P8" s="19">
        <f t="shared" si="5"/>
        <v>1872</v>
      </c>
      <c r="Q8" s="19">
        <f t="shared" si="6"/>
        <v>6804</v>
      </c>
      <c r="R8" s="19">
        <f t="shared" si="7"/>
        <v>48925</v>
      </c>
      <c r="S8" s="19">
        <f t="shared" si="8"/>
        <v>3435</v>
      </c>
      <c r="T8" s="19">
        <f t="shared" si="9"/>
        <v>52360</v>
      </c>
      <c r="U8" s="61">
        <f t="shared" si="10"/>
        <v>59164</v>
      </c>
      <c r="V8" s="19">
        <v>57640</v>
      </c>
      <c r="W8" s="19">
        <f t="shared" si="11"/>
        <v>1524</v>
      </c>
    </row>
    <row r="9" spans="1:23" x14ac:dyDescent="0.25">
      <c r="A9" s="28" t="s">
        <v>69</v>
      </c>
      <c r="B9" s="29" t="s">
        <v>478</v>
      </c>
      <c r="C9" s="19">
        <v>7418</v>
      </c>
      <c r="D9" s="19">
        <f>Tasandusfond!F9</f>
        <v>8676114</v>
      </c>
      <c r="E9" s="19">
        <v>269448.56000000139</v>
      </c>
      <c r="F9" s="19">
        <v>1316376</v>
      </c>
      <c r="G9" s="19">
        <f t="shared" si="0"/>
        <v>10261938.560000001</v>
      </c>
      <c r="H9" s="19">
        <f t="shared" si="1"/>
        <v>1383.3834672418443</v>
      </c>
      <c r="I9" s="59">
        <f t="shared" si="2"/>
        <v>1.095978939517678</v>
      </c>
      <c r="J9" s="18">
        <v>3.75</v>
      </c>
      <c r="K9" s="19">
        <v>99</v>
      </c>
      <c r="L9" s="18">
        <v>1299</v>
      </c>
      <c r="M9" s="19">
        <v>44</v>
      </c>
      <c r="N9" s="19">
        <f t="shared" si="3"/>
        <v>26651</v>
      </c>
      <c r="O9" s="19">
        <f t="shared" si="4"/>
        <v>3033</v>
      </c>
      <c r="P9" s="19">
        <f t="shared" si="5"/>
        <v>2250</v>
      </c>
      <c r="Q9" s="19">
        <f t="shared" si="6"/>
        <v>31934</v>
      </c>
      <c r="R9" s="19">
        <f t="shared" si="7"/>
        <v>70263</v>
      </c>
      <c r="S9" s="19">
        <f t="shared" si="8"/>
        <v>5161</v>
      </c>
      <c r="T9" s="19">
        <f t="shared" si="9"/>
        <v>75424</v>
      </c>
      <c r="U9" s="61">
        <f t="shared" si="10"/>
        <v>107358</v>
      </c>
      <c r="V9" s="19">
        <v>107991</v>
      </c>
      <c r="W9" s="19">
        <f t="shared" si="11"/>
        <v>-633</v>
      </c>
    </row>
    <row r="10" spans="1:23" x14ac:dyDescent="0.25">
      <c r="A10" s="28" t="s">
        <v>69</v>
      </c>
      <c r="B10" s="29" t="s">
        <v>476</v>
      </c>
      <c r="C10" s="19">
        <v>6562</v>
      </c>
      <c r="D10" s="19">
        <f>Tasandusfond!F10</f>
        <v>7495285</v>
      </c>
      <c r="E10" s="19">
        <v>354367.17000000062</v>
      </c>
      <c r="F10" s="19">
        <v>609447</v>
      </c>
      <c r="G10" s="19">
        <f t="shared" si="0"/>
        <v>8459099.1700000018</v>
      </c>
      <c r="H10" s="19">
        <f t="shared" si="1"/>
        <v>1289.1038052423044</v>
      </c>
      <c r="I10" s="59">
        <f t="shared" si="2"/>
        <v>1.0212863279438569</v>
      </c>
      <c r="J10" s="18">
        <v>4.58</v>
      </c>
      <c r="K10" s="19">
        <v>21</v>
      </c>
      <c r="L10" s="18">
        <v>1070</v>
      </c>
      <c r="M10" s="19">
        <v>41</v>
      </c>
      <c r="N10" s="19">
        <f t="shared" si="3"/>
        <v>6067</v>
      </c>
      <c r="O10" s="19">
        <f t="shared" si="4"/>
        <v>2681</v>
      </c>
      <c r="P10" s="19">
        <f t="shared" si="5"/>
        <v>2250</v>
      </c>
      <c r="Q10" s="19">
        <f t="shared" si="6"/>
        <v>10998</v>
      </c>
      <c r="R10" s="19">
        <f t="shared" si="7"/>
        <v>75856</v>
      </c>
      <c r="S10" s="19">
        <f t="shared" si="8"/>
        <v>6303</v>
      </c>
      <c r="T10" s="19">
        <f t="shared" si="9"/>
        <v>82159</v>
      </c>
      <c r="U10" s="61">
        <f t="shared" si="10"/>
        <v>93157</v>
      </c>
      <c r="V10" s="19">
        <v>98300</v>
      </c>
      <c r="W10" s="19">
        <f t="shared" si="11"/>
        <v>-5143</v>
      </c>
    </row>
    <row r="11" spans="1:23" x14ac:dyDescent="0.25">
      <c r="A11" s="28" t="s">
        <v>69</v>
      </c>
      <c r="B11" s="29" t="s">
        <v>83</v>
      </c>
      <c r="C11" s="19">
        <v>2484</v>
      </c>
      <c r="D11" s="19">
        <f>Tasandusfond!F11</f>
        <v>1875350</v>
      </c>
      <c r="E11" s="19">
        <v>58871.519999999997</v>
      </c>
      <c r="F11" s="19">
        <v>332168.4825094096</v>
      </c>
      <c r="G11" s="19">
        <f t="shared" si="0"/>
        <v>2266390.0025094096</v>
      </c>
      <c r="H11" s="19">
        <f t="shared" si="1"/>
        <v>912.39533112295067</v>
      </c>
      <c r="I11" s="59">
        <f t="shared" si="2"/>
        <v>0.72284083994347548</v>
      </c>
      <c r="J11" s="18">
        <v>2.4900000000000002</v>
      </c>
      <c r="K11" s="19">
        <v>65</v>
      </c>
      <c r="L11" s="18">
        <v>276</v>
      </c>
      <c r="M11" s="19">
        <v>5</v>
      </c>
      <c r="N11" s="19">
        <f t="shared" si="3"/>
        <v>26531</v>
      </c>
      <c r="O11" s="19">
        <f t="shared" si="4"/>
        <v>977</v>
      </c>
      <c r="P11" s="19">
        <f t="shared" si="5"/>
        <v>388</v>
      </c>
      <c r="Q11" s="19">
        <f t="shared" si="6"/>
        <v>27896</v>
      </c>
      <c r="R11" s="19">
        <f t="shared" si="7"/>
        <v>15030</v>
      </c>
      <c r="S11" s="19">
        <f t="shared" si="8"/>
        <v>590</v>
      </c>
      <c r="T11" s="19">
        <f t="shared" si="9"/>
        <v>15620</v>
      </c>
      <c r="U11" s="61">
        <f t="shared" si="10"/>
        <v>43516</v>
      </c>
      <c r="V11" s="19">
        <v>73632</v>
      </c>
      <c r="W11" s="19">
        <f t="shared" si="11"/>
        <v>-30116</v>
      </c>
    </row>
    <row r="12" spans="1:23" x14ac:dyDescent="0.25">
      <c r="A12" s="28" t="s">
        <v>69</v>
      </c>
      <c r="B12" s="29" t="s">
        <v>605</v>
      </c>
      <c r="C12" s="19">
        <v>13019</v>
      </c>
      <c r="D12" s="19">
        <f>Tasandusfond!F12</f>
        <v>14539911</v>
      </c>
      <c r="E12" s="19">
        <v>906621.55000000889</v>
      </c>
      <c r="F12" s="19">
        <v>1032931.1819901536</v>
      </c>
      <c r="G12" s="19">
        <f t="shared" si="0"/>
        <v>16479463.731990162</v>
      </c>
      <c r="H12" s="19">
        <f t="shared" si="1"/>
        <v>1265.8010394031924</v>
      </c>
      <c r="I12" s="59">
        <f t="shared" si="2"/>
        <v>1.0028248230922063</v>
      </c>
      <c r="J12" s="18">
        <v>3.37</v>
      </c>
      <c r="K12" s="19">
        <v>214</v>
      </c>
      <c r="L12" s="18">
        <v>1938</v>
      </c>
      <c r="M12" s="19">
        <v>76</v>
      </c>
      <c r="N12" s="19">
        <f t="shared" si="3"/>
        <v>62960</v>
      </c>
      <c r="O12" s="19">
        <f t="shared" si="4"/>
        <v>4945</v>
      </c>
      <c r="P12" s="19">
        <f t="shared" si="5"/>
        <v>4248</v>
      </c>
      <c r="Q12" s="19">
        <f t="shared" si="6"/>
        <v>72153</v>
      </c>
      <c r="R12" s="19">
        <f t="shared" si="7"/>
        <v>102955</v>
      </c>
      <c r="S12" s="19">
        <f t="shared" si="8"/>
        <v>8755</v>
      </c>
      <c r="T12" s="19">
        <f t="shared" si="9"/>
        <v>111710</v>
      </c>
      <c r="U12" s="61">
        <f t="shared" si="10"/>
        <v>183863</v>
      </c>
      <c r="V12" s="19">
        <v>237609</v>
      </c>
      <c r="W12" s="19">
        <f t="shared" si="11"/>
        <v>-53746</v>
      </c>
    </row>
    <row r="13" spans="1:23" x14ac:dyDescent="0.25">
      <c r="A13" s="28" t="s">
        <v>69</v>
      </c>
      <c r="B13" s="29" t="s">
        <v>68</v>
      </c>
      <c r="C13" s="19">
        <v>15574</v>
      </c>
      <c r="D13" s="19">
        <f>Tasandusfond!F13</f>
        <v>15492921</v>
      </c>
      <c r="E13" s="19">
        <v>1783844.01999998</v>
      </c>
      <c r="F13" s="19">
        <v>0</v>
      </c>
      <c r="G13" s="19">
        <f t="shared" si="0"/>
        <v>17276765.019999981</v>
      </c>
      <c r="H13" s="19">
        <f t="shared" si="1"/>
        <v>1109.3338268909708</v>
      </c>
      <c r="I13" s="59">
        <f t="shared" si="2"/>
        <v>0.878864421873639</v>
      </c>
      <c r="J13" s="18">
        <v>0</v>
      </c>
      <c r="K13" s="19">
        <v>224</v>
      </c>
      <c r="L13" s="18">
        <v>2133</v>
      </c>
      <c r="M13" s="19">
        <v>62</v>
      </c>
      <c r="N13" s="19">
        <f t="shared" si="3"/>
        <v>75197</v>
      </c>
      <c r="O13" s="19">
        <f t="shared" si="4"/>
        <v>6211</v>
      </c>
      <c r="P13" s="19">
        <f t="shared" si="5"/>
        <v>3954</v>
      </c>
      <c r="Q13" s="19">
        <f t="shared" si="6"/>
        <v>85362</v>
      </c>
      <c r="R13" s="19">
        <f t="shared" si="7"/>
        <v>0</v>
      </c>
      <c r="S13" s="19">
        <f t="shared" si="8"/>
        <v>0</v>
      </c>
      <c r="T13" s="19">
        <f t="shared" si="9"/>
        <v>0</v>
      </c>
      <c r="U13" s="61">
        <f t="shared" si="10"/>
        <v>85362</v>
      </c>
      <c r="V13" s="19">
        <v>89504</v>
      </c>
      <c r="W13" s="19">
        <f t="shared" si="11"/>
        <v>-4142</v>
      </c>
    </row>
    <row r="14" spans="1:23" x14ac:dyDescent="0.25">
      <c r="A14" s="28" t="s">
        <v>69</v>
      </c>
      <c r="B14" s="29" t="s">
        <v>470</v>
      </c>
      <c r="C14" s="19">
        <v>5257</v>
      </c>
      <c r="D14" s="19">
        <f>Tasandusfond!F14</f>
        <v>6778070</v>
      </c>
      <c r="E14" s="19">
        <v>150621.9600000002</v>
      </c>
      <c r="F14" s="19">
        <v>308608</v>
      </c>
      <c r="G14" s="19">
        <f t="shared" si="0"/>
        <v>7237299.96</v>
      </c>
      <c r="H14" s="19">
        <f t="shared" si="1"/>
        <v>1376.6977287426289</v>
      </c>
      <c r="I14" s="59">
        <f t="shared" si="2"/>
        <v>1.0906821951486914</v>
      </c>
      <c r="J14" s="18">
        <v>2.75</v>
      </c>
      <c r="K14" s="19">
        <v>13</v>
      </c>
      <c r="L14" s="18">
        <v>953</v>
      </c>
      <c r="M14" s="19">
        <v>29</v>
      </c>
      <c r="N14" s="19">
        <f t="shared" si="3"/>
        <v>3517</v>
      </c>
      <c r="O14" s="19">
        <f t="shared" si="4"/>
        <v>2236</v>
      </c>
      <c r="P14" s="19">
        <f t="shared" si="5"/>
        <v>1490</v>
      </c>
      <c r="Q14" s="19">
        <f t="shared" si="6"/>
        <v>7243</v>
      </c>
      <c r="R14" s="19">
        <f t="shared" si="7"/>
        <v>37985</v>
      </c>
      <c r="S14" s="19">
        <f t="shared" si="8"/>
        <v>2507</v>
      </c>
      <c r="T14" s="19">
        <f t="shared" si="9"/>
        <v>40492</v>
      </c>
      <c r="U14" s="61">
        <f t="shared" si="10"/>
        <v>47735</v>
      </c>
      <c r="V14" s="19">
        <v>58517</v>
      </c>
      <c r="W14" s="19">
        <f t="shared" si="11"/>
        <v>-10782</v>
      </c>
    </row>
    <row r="15" spans="1:23" x14ac:dyDescent="0.25">
      <c r="A15" s="28" t="s">
        <v>69</v>
      </c>
      <c r="B15" s="31" t="s">
        <v>468</v>
      </c>
      <c r="C15" s="19">
        <v>22199</v>
      </c>
      <c r="D15" s="19">
        <f>Tasandusfond!F15</f>
        <v>37495778</v>
      </c>
      <c r="E15" s="19">
        <v>985967.98000000103</v>
      </c>
      <c r="F15" s="19">
        <v>0</v>
      </c>
      <c r="G15" s="19">
        <f t="shared" si="0"/>
        <v>38481745.980000004</v>
      </c>
      <c r="H15" s="19">
        <f t="shared" si="1"/>
        <v>1733.4900662191992</v>
      </c>
      <c r="I15" s="59">
        <f t="shared" si="2"/>
        <v>1.3733492190905379</v>
      </c>
      <c r="J15" s="18">
        <v>1.42</v>
      </c>
      <c r="K15" s="19">
        <v>62</v>
      </c>
      <c r="L15" s="18">
        <v>4906</v>
      </c>
      <c r="M15" s="19">
        <v>131</v>
      </c>
      <c r="N15" s="19">
        <f t="shared" si="3"/>
        <v>13319</v>
      </c>
      <c r="O15" s="19">
        <f t="shared" si="4"/>
        <v>9142</v>
      </c>
      <c r="P15" s="19">
        <f t="shared" si="5"/>
        <v>5347</v>
      </c>
      <c r="Q15" s="19">
        <f t="shared" si="6"/>
        <v>27808</v>
      </c>
      <c r="R15" s="19">
        <f t="shared" si="7"/>
        <v>80191</v>
      </c>
      <c r="S15" s="19">
        <f t="shared" si="8"/>
        <v>4643</v>
      </c>
      <c r="T15" s="19">
        <f t="shared" si="9"/>
        <v>84834</v>
      </c>
      <c r="U15" s="61">
        <f t="shared" si="10"/>
        <v>112642</v>
      </c>
      <c r="V15" s="19">
        <v>107828</v>
      </c>
      <c r="W15" s="19">
        <f t="shared" si="11"/>
        <v>4814</v>
      </c>
    </row>
    <row r="16" spans="1:23" x14ac:dyDescent="0.25">
      <c r="A16" s="28" t="s">
        <v>69</v>
      </c>
      <c r="B16" s="29" t="s">
        <v>466</v>
      </c>
      <c r="C16" s="19">
        <v>11184</v>
      </c>
      <c r="D16" s="19">
        <f>Tasandusfond!F16</f>
        <v>16445354</v>
      </c>
      <c r="E16" s="19">
        <v>412515.10000000405</v>
      </c>
      <c r="F16" s="19">
        <v>0</v>
      </c>
      <c r="G16" s="19">
        <f t="shared" si="0"/>
        <v>16857869.100000005</v>
      </c>
      <c r="H16" s="19">
        <f t="shared" si="1"/>
        <v>1507.3201984978546</v>
      </c>
      <c r="I16" s="59">
        <f t="shared" si="2"/>
        <v>1.1941672224527546</v>
      </c>
      <c r="J16" s="18">
        <v>2.56</v>
      </c>
      <c r="K16" s="19">
        <v>48</v>
      </c>
      <c r="L16" s="18">
        <v>2243</v>
      </c>
      <c r="M16" s="19">
        <v>64</v>
      </c>
      <c r="N16" s="19">
        <f t="shared" si="3"/>
        <v>11859</v>
      </c>
      <c r="O16" s="19">
        <f t="shared" si="4"/>
        <v>4807</v>
      </c>
      <c r="P16" s="19">
        <f t="shared" si="5"/>
        <v>3004</v>
      </c>
      <c r="Q16" s="19">
        <f t="shared" si="6"/>
        <v>19670</v>
      </c>
      <c r="R16" s="19">
        <f t="shared" si="7"/>
        <v>76014</v>
      </c>
      <c r="S16" s="19">
        <f t="shared" si="8"/>
        <v>4703</v>
      </c>
      <c r="T16" s="19">
        <f t="shared" si="9"/>
        <v>80717</v>
      </c>
      <c r="U16" s="61">
        <f t="shared" si="10"/>
        <v>100387</v>
      </c>
      <c r="V16" s="19">
        <v>96784</v>
      </c>
      <c r="W16" s="19">
        <f t="shared" si="11"/>
        <v>3603</v>
      </c>
    </row>
    <row r="17" spans="1:23" x14ac:dyDescent="0.25">
      <c r="A17" s="28" t="s">
        <v>69</v>
      </c>
      <c r="B17" s="29" t="s">
        <v>464</v>
      </c>
      <c r="C17" s="19">
        <v>24646</v>
      </c>
      <c r="D17" s="19">
        <f>Tasandusfond!F17</f>
        <v>35202307</v>
      </c>
      <c r="E17" s="19">
        <v>786348.27000000398</v>
      </c>
      <c r="F17" s="19">
        <v>352335.75362703623</v>
      </c>
      <c r="G17" s="19">
        <f t="shared" si="0"/>
        <v>36340991.023627043</v>
      </c>
      <c r="H17" s="19">
        <f t="shared" si="1"/>
        <v>1474.5188275430919</v>
      </c>
      <c r="I17" s="59">
        <f t="shared" si="2"/>
        <v>1.1681804931004067</v>
      </c>
      <c r="J17" s="18">
        <v>1.73</v>
      </c>
      <c r="K17" s="19">
        <v>148</v>
      </c>
      <c r="L17" s="18">
        <v>4693</v>
      </c>
      <c r="M17" s="19">
        <v>154</v>
      </c>
      <c r="N17" s="19">
        <f t="shared" si="3"/>
        <v>37379</v>
      </c>
      <c r="O17" s="19">
        <f t="shared" si="4"/>
        <v>10281</v>
      </c>
      <c r="P17" s="19">
        <f t="shared" si="5"/>
        <v>7390</v>
      </c>
      <c r="Q17" s="19">
        <f t="shared" si="6"/>
        <v>55050</v>
      </c>
      <c r="R17" s="19">
        <f t="shared" si="7"/>
        <v>109869</v>
      </c>
      <c r="S17" s="19">
        <f t="shared" si="8"/>
        <v>7818</v>
      </c>
      <c r="T17" s="19">
        <f t="shared" si="9"/>
        <v>117687</v>
      </c>
      <c r="U17" s="61">
        <f t="shared" si="10"/>
        <v>172737</v>
      </c>
      <c r="V17" s="19">
        <v>180788</v>
      </c>
      <c r="W17" s="19">
        <f t="shared" si="11"/>
        <v>-8051</v>
      </c>
    </row>
    <row r="18" spans="1:23" x14ac:dyDescent="0.25">
      <c r="A18" s="28" t="s">
        <v>69</v>
      </c>
      <c r="B18" s="31" t="s">
        <v>587</v>
      </c>
      <c r="C18" s="19">
        <v>444999</v>
      </c>
      <c r="D18" s="19">
        <f>Tasandusfond!F18</f>
        <v>598392598</v>
      </c>
      <c r="E18" s="19">
        <v>25994437.090001203</v>
      </c>
      <c r="F18" s="19">
        <v>0</v>
      </c>
      <c r="G18" s="19">
        <f t="shared" si="0"/>
        <v>624387035.09000123</v>
      </c>
      <c r="H18" s="19">
        <f t="shared" si="1"/>
        <v>1403.1200858653642</v>
      </c>
      <c r="I18" s="59">
        <f t="shared" si="2"/>
        <v>1.1116151812835258</v>
      </c>
      <c r="J18" s="18">
        <v>0</v>
      </c>
      <c r="K18" s="19">
        <v>4789</v>
      </c>
      <c r="L18" s="18">
        <v>62365</v>
      </c>
      <c r="M18" s="19">
        <v>2045</v>
      </c>
      <c r="N18" s="19">
        <f t="shared" si="3"/>
        <v>1271060</v>
      </c>
      <c r="O18" s="19">
        <f t="shared" si="4"/>
        <v>143571</v>
      </c>
      <c r="P18" s="19">
        <f t="shared" si="5"/>
        <v>103122</v>
      </c>
      <c r="Q18" s="19">
        <f t="shared" si="6"/>
        <v>1517753</v>
      </c>
      <c r="R18" s="19">
        <f t="shared" si="7"/>
        <v>0</v>
      </c>
      <c r="S18" s="19">
        <f t="shared" si="8"/>
        <v>0</v>
      </c>
      <c r="T18" s="19">
        <f t="shared" si="9"/>
        <v>0</v>
      </c>
      <c r="U18" s="61">
        <f t="shared" si="10"/>
        <v>1517753</v>
      </c>
      <c r="V18" s="19">
        <v>972456</v>
      </c>
      <c r="W18" s="19">
        <f t="shared" si="11"/>
        <v>545297</v>
      </c>
    </row>
    <row r="19" spans="1:23" x14ac:dyDescent="0.25">
      <c r="A19" s="28" t="s">
        <v>69</v>
      </c>
      <c r="B19" s="29" t="s">
        <v>460</v>
      </c>
      <c r="C19" s="19">
        <v>21978</v>
      </c>
      <c r="D19" s="19">
        <f>Tasandusfond!F19</f>
        <v>35735996</v>
      </c>
      <c r="E19" s="19">
        <v>2539252.4099999899</v>
      </c>
      <c r="F19" s="19">
        <v>0</v>
      </c>
      <c r="G19" s="19">
        <f t="shared" si="0"/>
        <v>38275248.409999989</v>
      </c>
      <c r="H19" s="19">
        <f t="shared" si="1"/>
        <v>1741.5255441805436</v>
      </c>
      <c r="I19" s="59">
        <f t="shared" si="2"/>
        <v>1.3797152880968058</v>
      </c>
      <c r="J19" s="18">
        <v>1.52</v>
      </c>
      <c r="K19" s="19">
        <v>77</v>
      </c>
      <c r="L19" s="18">
        <v>4387</v>
      </c>
      <c r="M19" s="19">
        <v>124</v>
      </c>
      <c r="N19" s="19">
        <f t="shared" si="3"/>
        <v>16466</v>
      </c>
      <c r="O19" s="19">
        <f t="shared" si="4"/>
        <v>8137</v>
      </c>
      <c r="P19" s="19">
        <f t="shared" si="5"/>
        <v>5038</v>
      </c>
      <c r="Q19" s="19">
        <f t="shared" si="6"/>
        <v>29641</v>
      </c>
      <c r="R19" s="19">
        <f t="shared" si="7"/>
        <v>76403</v>
      </c>
      <c r="S19" s="19">
        <f t="shared" si="8"/>
        <v>4683</v>
      </c>
      <c r="T19" s="19">
        <f t="shared" si="9"/>
        <v>81086</v>
      </c>
      <c r="U19" s="61">
        <f t="shared" si="10"/>
        <v>110727</v>
      </c>
      <c r="V19" s="19">
        <v>113670</v>
      </c>
      <c r="W19" s="19">
        <f t="shared" si="11"/>
        <v>-2943</v>
      </c>
    </row>
    <row r="20" spans="1:23" x14ac:dyDescent="0.25">
      <c r="A20" s="28" t="s">
        <v>67</v>
      </c>
      <c r="B20" s="29" t="s">
        <v>591</v>
      </c>
      <c r="C20" s="19">
        <v>9557</v>
      </c>
      <c r="D20" s="19">
        <f>Tasandusfond!F20</f>
        <v>11329501</v>
      </c>
      <c r="E20" s="19">
        <v>372527.64000000304</v>
      </c>
      <c r="F20" s="19">
        <v>0</v>
      </c>
      <c r="G20" s="19">
        <f t="shared" si="0"/>
        <v>11702028.640000002</v>
      </c>
      <c r="H20" s="19">
        <f t="shared" si="1"/>
        <v>1224.445813539814</v>
      </c>
      <c r="I20" s="59">
        <f t="shared" si="2"/>
        <v>0.97006134307489311</v>
      </c>
      <c r="J20" s="18">
        <v>3.89</v>
      </c>
      <c r="K20" s="19">
        <v>79</v>
      </c>
      <c r="L20" s="18">
        <v>1051</v>
      </c>
      <c r="M20" s="19">
        <v>52</v>
      </c>
      <c r="N20" s="19">
        <f t="shared" si="3"/>
        <v>24027</v>
      </c>
      <c r="O20" s="19">
        <f t="shared" si="4"/>
        <v>2773</v>
      </c>
      <c r="P20" s="19">
        <f t="shared" si="5"/>
        <v>3005</v>
      </c>
      <c r="Q20" s="19">
        <f t="shared" si="6"/>
        <v>29805</v>
      </c>
      <c r="R20" s="19">
        <f t="shared" si="7"/>
        <v>66626</v>
      </c>
      <c r="S20" s="19">
        <f t="shared" si="8"/>
        <v>7148</v>
      </c>
      <c r="T20" s="19">
        <f t="shared" si="9"/>
        <v>73774</v>
      </c>
      <c r="U20" s="61">
        <f t="shared" si="10"/>
        <v>103579</v>
      </c>
      <c r="V20" s="19">
        <v>142900</v>
      </c>
      <c r="W20" s="19">
        <f t="shared" si="11"/>
        <v>-39321</v>
      </c>
    </row>
    <row r="21" spans="1:23" x14ac:dyDescent="0.25">
      <c r="A21" s="28" t="s">
        <v>58</v>
      </c>
      <c r="B21" s="29" t="s">
        <v>592</v>
      </c>
      <c r="C21" s="19">
        <v>4659</v>
      </c>
      <c r="D21" s="19">
        <f>Tasandusfond!F21</f>
        <v>4145540</v>
      </c>
      <c r="E21" s="19">
        <v>484070.98000000202</v>
      </c>
      <c r="F21" s="19">
        <v>557107</v>
      </c>
      <c r="G21" s="19">
        <f t="shared" si="0"/>
        <v>5186717.9800000023</v>
      </c>
      <c r="H21" s="19">
        <f t="shared" si="1"/>
        <v>1113.2685082635765</v>
      </c>
      <c r="I21" s="59">
        <f t="shared" si="2"/>
        <v>0.88198165438378751</v>
      </c>
      <c r="J21" s="18">
        <v>4.8899999999999997</v>
      </c>
      <c r="K21" s="19">
        <v>28</v>
      </c>
      <c r="L21" s="18">
        <v>597</v>
      </c>
      <c r="M21" s="19">
        <v>32</v>
      </c>
      <c r="N21" s="19">
        <f t="shared" si="3"/>
        <v>9366</v>
      </c>
      <c r="O21" s="19">
        <f t="shared" si="4"/>
        <v>1732</v>
      </c>
      <c r="P21" s="19">
        <f t="shared" si="5"/>
        <v>2034</v>
      </c>
      <c r="Q21" s="19">
        <f t="shared" si="6"/>
        <v>13132</v>
      </c>
      <c r="R21" s="19">
        <f t="shared" si="7"/>
        <v>52326</v>
      </c>
      <c r="S21" s="19">
        <f t="shared" si="8"/>
        <v>6082</v>
      </c>
      <c r="T21" s="19">
        <f t="shared" si="9"/>
        <v>58408</v>
      </c>
      <c r="U21" s="61">
        <f t="shared" si="10"/>
        <v>71540</v>
      </c>
      <c r="V21" s="19">
        <v>73519</v>
      </c>
      <c r="W21" s="19">
        <f t="shared" si="11"/>
        <v>-1979</v>
      </c>
    </row>
    <row r="22" spans="1:23" x14ac:dyDescent="0.25">
      <c r="A22" s="28" t="s">
        <v>58</v>
      </c>
      <c r="B22" s="29" t="s">
        <v>434</v>
      </c>
      <c r="C22" s="19">
        <v>11144</v>
      </c>
      <c r="D22" s="19">
        <f>Tasandusfond!F22</f>
        <v>10496432</v>
      </c>
      <c r="E22" s="19">
        <v>195388.69000000041</v>
      </c>
      <c r="F22" s="19">
        <v>897308</v>
      </c>
      <c r="G22" s="19">
        <f t="shared" si="0"/>
        <v>11589128.690000001</v>
      </c>
      <c r="H22" s="19">
        <f t="shared" si="1"/>
        <v>1039.9433497846376</v>
      </c>
      <c r="I22" s="59">
        <f t="shared" si="2"/>
        <v>0.82389014806418504</v>
      </c>
      <c r="J22" s="18">
        <v>0.81</v>
      </c>
      <c r="K22" s="19">
        <v>148</v>
      </c>
      <c r="L22" s="18">
        <v>1490</v>
      </c>
      <c r="M22" s="19">
        <v>62</v>
      </c>
      <c r="N22" s="19">
        <f t="shared" si="3"/>
        <v>52999</v>
      </c>
      <c r="O22" s="19">
        <f t="shared" si="4"/>
        <v>4628</v>
      </c>
      <c r="P22" s="19">
        <f t="shared" si="5"/>
        <v>4218</v>
      </c>
      <c r="Q22" s="19">
        <f t="shared" si="6"/>
        <v>61845</v>
      </c>
      <c r="R22" s="19">
        <f t="shared" si="7"/>
        <v>23158</v>
      </c>
      <c r="S22" s="19">
        <f t="shared" si="8"/>
        <v>2090</v>
      </c>
      <c r="T22" s="19">
        <f t="shared" si="9"/>
        <v>25248</v>
      </c>
      <c r="U22" s="61">
        <f t="shared" si="10"/>
        <v>87093</v>
      </c>
      <c r="V22" s="19">
        <v>95585</v>
      </c>
      <c r="W22" s="19">
        <f t="shared" si="11"/>
        <v>-8492</v>
      </c>
    </row>
    <row r="23" spans="1:23" x14ac:dyDescent="0.25">
      <c r="A23" s="28" t="s">
        <v>58</v>
      </c>
      <c r="B23" s="29" t="s">
        <v>57</v>
      </c>
      <c r="C23" s="19">
        <v>32273</v>
      </c>
      <c r="D23" s="19">
        <f>Tasandusfond!F23</f>
        <v>24223219</v>
      </c>
      <c r="E23" s="19">
        <v>203695.75</v>
      </c>
      <c r="F23" s="19">
        <v>5881612</v>
      </c>
      <c r="G23" s="19">
        <f t="shared" si="0"/>
        <v>30308526.75</v>
      </c>
      <c r="H23" s="19">
        <f t="shared" si="1"/>
        <v>939.12951228581164</v>
      </c>
      <c r="I23" s="59">
        <f t="shared" si="2"/>
        <v>0.74402086718361859</v>
      </c>
      <c r="J23" s="18">
        <v>0.39</v>
      </c>
      <c r="K23" s="19">
        <v>291</v>
      </c>
      <c r="L23" s="18">
        <v>4313</v>
      </c>
      <c r="M23" s="19">
        <v>272</v>
      </c>
      <c r="N23" s="19">
        <f t="shared" si="3"/>
        <v>115394</v>
      </c>
      <c r="O23" s="19">
        <f t="shared" si="4"/>
        <v>14835</v>
      </c>
      <c r="P23" s="19">
        <f t="shared" si="5"/>
        <v>20492</v>
      </c>
      <c r="Q23" s="19">
        <f t="shared" si="6"/>
        <v>150721</v>
      </c>
      <c r="R23" s="19">
        <f t="shared" si="7"/>
        <v>35740</v>
      </c>
      <c r="S23" s="19">
        <f t="shared" si="8"/>
        <v>4888</v>
      </c>
      <c r="T23" s="19">
        <f t="shared" si="9"/>
        <v>40628</v>
      </c>
      <c r="U23" s="61">
        <f t="shared" si="10"/>
        <v>191349</v>
      </c>
      <c r="V23" s="19">
        <v>212861</v>
      </c>
      <c r="W23" s="19">
        <f t="shared" si="11"/>
        <v>-21512</v>
      </c>
    </row>
    <row r="24" spans="1:23" x14ac:dyDescent="0.25">
      <c r="A24" s="28" t="s">
        <v>58</v>
      </c>
      <c r="B24" s="29" t="s">
        <v>426</v>
      </c>
      <c r="C24" s="19">
        <v>8203</v>
      </c>
      <c r="D24" s="19">
        <f>Tasandusfond!F24</f>
        <v>6282428</v>
      </c>
      <c r="E24" s="19">
        <v>275908.24999999959</v>
      </c>
      <c r="F24" s="19">
        <v>1389063</v>
      </c>
      <c r="G24" s="19">
        <f t="shared" si="0"/>
        <v>7947399.25</v>
      </c>
      <c r="H24" s="19">
        <f t="shared" si="1"/>
        <v>968.84057661831037</v>
      </c>
      <c r="I24" s="59">
        <f t="shared" si="2"/>
        <v>0.76755931588576787</v>
      </c>
      <c r="J24" s="18">
        <v>1.89</v>
      </c>
      <c r="K24" s="19">
        <v>130</v>
      </c>
      <c r="L24" s="18">
        <v>980</v>
      </c>
      <c r="M24" s="19">
        <v>58</v>
      </c>
      <c r="N24" s="19">
        <f t="shared" si="3"/>
        <v>49970</v>
      </c>
      <c r="O24" s="19">
        <f t="shared" si="4"/>
        <v>3267</v>
      </c>
      <c r="P24" s="19">
        <f t="shared" si="5"/>
        <v>4236</v>
      </c>
      <c r="Q24" s="19">
        <f t="shared" si="6"/>
        <v>57473</v>
      </c>
      <c r="R24" s="19">
        <f t="shared" si="7"/>
        <v>38147</v>
      </c>
      <c r="S24" s="19">
        <f t="shared" si="8"/>
        <v>4896</v>
      </c>
      <c r="T24" s="19">
        <f t="shared" si="9"/>
        <v>43043</v>
      </c>
      <c r="U24" s="61">
        <f t="shared" si="10"/>
        <v>100516</v>
      </c>
      <c r="V24" s="19">
        <v>101848</v>
      </c>
      <c r="W24" s="19">
        <f t="shared" si="11"/>
        <v>-1332</v>
      </c>
    </row>
    <row r="25" spans="1:23" x14ac:dyDescent="0.25">
      <c r="A25" s="28" t="s">
        <v>58</v>
      </c>
      <c r="B25" s="29" t="s">
        <v>59</v>
      </c>
      <c r="C25" s="19">
        <v>53979</v>
      </c>
      <c r="D25" s="19">
        <f>Tasandusfond!F25</f>
        <v>35035817</v>
      </c>
      <c r="E25" s="19">
        <v>287727.08000000019</v>
      </c>
      <c r="F25" s="19">
        <v>16088183</v>
      </c>
      <c r="G25" s="19">
        <f t="shared" si="0"/>
        <v>51411727.079999998</v>
      </c>
      <c r="H25" s="19">
        <f t="shared" si="1"/>
        <v>952.43941310509638</v>
      </c>
      <c r="I25" s="59">
        <f t="shared" si="2"/>
        <v>0.75456557248799028</v>
      </c>
      <c r="J25" s="18">
        <v>0</v>
      </c>
      <c r="K25" s="19">
        <v>211</v>
      </c>
      <c r="L25" s="18">
        <v>6991</v>
      </c>
      <c r="M25" s="19">
        <v>368</v>
      </c>
      <c r="N25" s="19">
        <f t="shared" si="3"/>
        <v>82501</v>
      </c>
      <c r="O25" s="19">
        <f t="shared" si="4"/>
        <v>23710</v>
      </c>
      <c r="P25" s="19">
        <f t="shared" si="5"/>
        <v>27338</v>
      </c>
      <c r="Q25" s="19">
        <f t="shared" si="6"/>
        <v>133549</v>
      </c>
      <c r="R25" s="19">
        <f t="shared" si="7"/>
        <v>0</v>
      </c>
      <c r="S25" s="19">
        <f t="shared" si="8"/>
        <v>0</v>
      </c>
      <c r="T25" s="19">
        <f t="shared" si="9"/>
        <v>0</v>
      </c>
      <c r="U25" s="61">
        <f t="shared" si="10"/>
        <v>133549</v>
      </c>
      <c r="V25" s="19">
        <v>199243</v>
      </c>
      <c r="W25" s="19">
        <f t="shared" si="11"/>
        <v>-65694</v>
      </c>
    </row>
    <row r="26" spans="1:23" x14ac:dyDescent="0.25">
      <c r="A26" s="28" t="s">
        <v>58</v>
      </c>
      <c r="B26" s="29" t="s">
        <v>62</v>
      </c>
      <c r="C26" s="19">
        <v>4714</v>
      </c>
      <c r="D26" s="19">
        <f>Tasandusfond!F26</f>
        <v>3456566</v>
      </c>
      <c r="E26" s="19">
        <v>296899.890000001</v>
      </c>
      <c r="F26" s="19">
        <v>1149739</v>
      </c>
      <c r="G26" s="19">
        <f t="shared" si="0"/>
        <v>4903204.8900000006</v>
      </c>
      <c r="H26" s="19">
        <f t="shared" si="1"/>
        <v>1040.1368031395843</v>
      </c>
      <c r="I26" s="59">
        <f t="shared" si="2"/>
        <v>0.82404341055995811</v>
      </c>
      <c r="J26" s="18">
        <v>3.47</v>
      </c>
      <c r="K26" s="19">
        <v>47</v>
      </c>
      <c r="L26" s="18">
        <v>580</v>
      </c>
      <c r="M26" s="19">
        <v>28</v>
      </c>
      <c r="N26" s="19">
        <f t="shared" si="3"/>
        <v>16828</v>
      </c>
      <c r="O26" s="19">
        <f t="shared" si="4"/>
        <v>1801</v>
      </c>
      <c r="P26" s="19">
        <f t="shared" si="5"/>
        <v>1905</v>
      </c>
      <c r="Q26" s="19">
        <f t="shared" si="6"/>
        <v>20534</v>
      </c>
      <c r="R26" s="19">
        <f t="shared" si="7"/>
        <v>38610</v>
      </c>
      <c r="S26" s="19">
        <f t="shared" si="8"/>
        <v>4042</v>
      </c>
      <c r="T26" s="19">
        <f t="shared" si="9"/>
        <v>42652</v>
      </c>
      <c r="U26" s="61">
        <f t="shared" si="10"/>
        <v>63186</v>
      </c>
      <c r="V26" s="19">
        <v>68462</v>
      </c>
      <c r="W26" s="19">
        <f t="shared" si="11"/>
        <v>-5276</v>
      </c>
    </row>
    <row r="27" spans="1:23" x14ac:dyDescent="0.25">
      <c r="A27" s="28" t="s">
        <v>58</v>
      </c>
      <c r="B27" s="29" t="s">
        <v>61</v>
      </c>
      <c r="C27" s="19">
        <v>12168</v>
      </c>
      <c r="D27" s="19">
        <f>Tasandusfond!F27</f>
        <v>8609979</v>
      </c>
      <c r="E27" s="19">
        <v>96658.430000000008</v>
      </c>
      <c r="F27" s="19">
        <v>2155855</v>
      </c>
      <c r="G27" s="19">
        <f t="shared" si="0"/>
        <v>10862492.43</v>
      </c>
      <c r="H27" s="19">
        <f t="shared" si="1"/>
        <v>892.70976577909266</v>
      </c>
      <c r="I27" s="59">
        <f t="shared" si="2"/>
        <v>0.70724504489441142</v>
      </c>
      <c r="J27" s="18">
        <v>0</v>
      </c>
      <c r="K27" s="19">
        <v>74</v>
      </c>
      <c r="L27" s="18">
        <v>1444</v>
      </c>
      <c r="M27" s="19">
        <v>78</v>
      </c>
      <c r="N27" s="19">
        <f t="shared" si="3"/>
        <v>30870</v>
      </c>
      <c r="O27" s="19">
        <f t="shared" si="4"/>
        <v>5225</v>
      </c>
      <c r="P27" s="19">
        <f t="shared" si="5"/>
        <v>6182</v>
      </c>
      <c r="Q27" s="19">
        <f t="shared" si="6"/>
        <v>42277</v>
      </c>
      <c r="R27" s="19">
        <f t="shared" si="7"/>
        <v>0</v>
      </c>
      <c r="S27" s="19">
        <f t="shared" si="8"/>
        <v>0</v>
      </c>
      <c r="T27" s="19">
        <f t="shared" si="9"/>
        <v>0</v>
      </c>
      <c r="U27" s="61">
        <f t="shared" si="10"/>
        <v>42277</v>
      </c>
      <c r="V27" s="19">
        <v>73120</v>
      </c>
      <c r="W27" s="19">
        <f t="shared" si="11"/>
        <v>-30843</v>
      </c>
    </row>
    <row r="28" spans="1:23" x14ac:dyDescent="0.25">
      <c r="A28" s="28" t="s">
        <v>58</v>
      </c>
      <c r="B28" s="29" t="s">
        <v>64</v>
      </c>
      <c r="C28" s="19">
        <v>4617</v>
      </c>
      <c r="D28" s="19">
        <f>Tasandusfond!F28</f>
        <v>4857361</v>
      </c>
      <c r="E28" s="19">
        <v>147387.52999999991</v>
      </c>
      <c r="F28" s="19">
        <v>330378</v>
      </c>
      <c r="G28" s="19">
        <f t="shared" si="0"/>
        <v>5335126.53</v>
      </c>
      <c r="H28" s="19">
        <f t="shared" si="1"/>
        <v>1155.5396426250813</v>
      </c>
      <c r="I28" s="59">
        <f t="shared" si="2"/>
        <v>0.91547075853081017</v>
      </c>
      <c r="J28" s="18">
        <v>4.58</v>
      </c>
      <c r="K28" s="19">
        <v>34</v>
      </c>
      <c r="L28" s="18">
        <v>670</v>
      </c>
      <c r="M28" s="19">
        <v>18</v>
      </c>
      <c r="N28" s="19">
        <f t="shared" si="3"/>
        <v>10957</v>
      </c>
      <c r="O28" s="19">
        <f t="shared" si="4"/>
        <v>1873</v>
      </c>
      <c r="P28" s="19">
        <f t="shared" si="5"/>
        <v>1102</v>
      </c>
      <c r="Q28" s="19">
        <f t="shared" si="6"/>
        <v>13932</v>
      </c>
      <c r="R28" s="19">
        <f t="shared" si="7"/>
        <v>52989</v>
      </c>
      <c r="S28" s="19">
        <f t="shared" si="8"/>
        <v>3087</v>
      </c>
      <c r="T28" s="19">
        <f t="shared" si="9"/>
        <v>56076</v>
      </c>
      <c r="U28" s="61">
        <f t="shared" si="10"/>
        <v>70008</v>
      </c>
      <c r="V28" s="19">
        <v>73584</v>
      </c>
      <c r="W28" s="19">
        <f t="shared" si="11"/>
        <v>-3576</v>
      </c>
    </row>
    <row r="29" spans="1:23" x14ac:dyDescent="0.25">
      <c r="A29" s="28" t="s">
        <v>55</v>
      </c>
      <c r="B29" s="29" t="s">
        <v>409</v>
      </c>
      <c r="C29" s="19">
        <v>13230</v>
      </c>
      <c r="D29" s="19">
        <f>Tasandusfond!F29</f>
        <v>11972035</v>
      </c>
      <c r="E29" s="19">
        <v>498974.88000000198</v>
      </c>
      <c r="F29" s="19">
        <v>1987203</v>
      </c>
      <c r="G29" s="19">
        <f t="shared" si="0"/>
        <v>14458212.880000003</v>
      </c>
      <c r="H29" s="19">
        <f t="shared" si="1"/>
        <v>1092.8354406651551</v>
      </c>
      <c r="I29" s="59">
        <f t="shared" si="2"/>
        <v>0.86579365424651544</v>
      </c>
      <c r="J29" s="18">
        <v>3.13</v>
      </c>
      <c r="K29" s="19">
        <v>62</v>
      </c>
      <c r="L29" s="18">
        <v>1758</v>
      </c>
      <c r="M29" s="19">
        <v>109</v>
      </c>
      <c r="N29" s="19">
        <f t="shared" si="3"/>
        <v>21128</v>
      </c>
      <c r="O29" s="19">
        <f t="shared" si="4"/>
        <v>5196</v>
      </c>
      <c r="P29" s="19">
        <f t="shared" si="5"/>
        <v>7057</v>
      </c>
      <c r="Q29" s="19">
        <f t="shared" si="6"/>
        <v>33381</v>
      </c>
      <c r="R29" s="19">
        <f t="shared" si="7"/>
        <v>100471</v>
      </c>
      <c r="S29" s="19">
        <f t="shared" si="8"/>
        <v>13508</v>
      </c>
      <c r="T29" s="19">
        <f t="shared" si="9"/>
        <v>113979</v>
      </c>
      <c r="U29" s="61">
        <f t="shared" si="10"/>
        <v>147360</v>
      </c>
      <c r="V29" s="19">
        <v>137219</v>
      </c>
      <c r="W29" s="19">
        <f t="shared" si="11"/>
        <v>10141</v>
      </c>
    </row>
    <row r="30" spans="1:23" x14ac:dyDescent="0.25">
      <c r="A30" s="28" t="s">
        <v>55</v>
      </c>
      <c r="B30" s="29" t="s">
        <v>593</v>
      </c>
      <c r="C30" s="19">
        <v>5282</v>
      </c>
      <c r="D30" s="19">
        <f>Tasandusfond!F30</f>
        <v>3915937</v>
      </c>
      <c r="E30" s="19">
        <v>312509.820000001</v>
      </c>
      <c r="F30" s="19">
        <v>1099514</v>
      </c>
      <c r="G30" s="19">
        <f t="shared" si="0"/>
        <v>5327960.8200000012</v>
      </c>
      <c r="H30" s="19">
        <f t="shared" si="1"/>
        <v>1008.7014047709204</v>
      </c>
      <c r="I30" s="59">
        <f t="shared" si="2"/>
        <v>0.79913886645976395</v>
      </c>
      <c r="J30" s="18">
        <v>4.8099999999999996</v>
      </c>
      <c r="K30" s="19">
        <v>36</v>
      </c>
      <c r="L30" s="18">
        <v>579</v>
      </c>
      <c r="M30" s="19">
        <v>39</v>
      </c>
      <c r="N30" s="19">
        <f t="shared" si="3"/>
        <v>13291</v>
      </c>
      <c r="O30" s="19">
        <f t="shared" si="4"/>
        <v>1854</v>
      </c>
      <c r="P30" s="19">
        <f t="shared" si="5"/>
        <v>2736</v>
      </c>
      <c r="Q30" s="19">
        <f t="shared" si="6"/>
        <v>17881</v>
      </c>
      <c r="R30" s="19">
        <f t="shared" si="7"/>
        <v>55092</v>
      </c>
      <c r="S30" s="19">
        <f t="shared" si="8"/>
        <v>8047</v>
      </c>
      <c r="T30" s="19">
        <f t="shared" si="9"/>
        <v>63139</v>
      </c>
      <c r="U30" s="61">
        <f t="shared" si="10"/>
        <v>81020</v>
      </c>
      <c r="V30" s="19">
        <v>92009</v>
      </c>
      <c r="W30" s="19">
        <f t="shared" si="11"/>
        <v>-10989</v>
      </c>
    </row>
    <row r="31" spans="1:23" x14ac:dyDescent="0.25">
      <c r="A31" s="28" t="s">
        <v>55</v>
      </c>
      <c r="B31" s="29" t="s">
        <v>397</v>
      </c>
      <c r="C31" s="19">
        <v>9380</v>
      </c>
      <c r="D31" s="19">
        <f>Tasandusfond!F31</f>
        <v>8677042</v>
      </c>
      <c r="E31" s="19">
        <v>417285.760000001</v>
      </c>
      <c r="F31" s="19">
        <v>1241256.7700795736</v>
      </c>
      <c r="G31" s="19">
        <f t="shared" si="0"/>
        <v>10335584.530079575</v>
      </c>
      <c r="H31" s="19">
        <f t="shared" si="1"/>
        <v>1101.8746833773534</v>
      </c>
      <c r="I31" s="59">
        <f t="shared" si="2"/>
        <v>0.87295495107877408</v>
      </c>
      <c r="J31" s="18">
        <v>3.35</v>
      </c>
      <c r="K31" s="19">
        <v>55</v>
      </c>
      <c r="L31" s="18">
        <v>1182</v>
      </c>
      <c r="M31" s="19">
        <v>85</v>
      </c>
      <c r="N31" s="19">
        <f t="shared" si="3"/>
        <v>18589</v>
      </c>
      <c r="O31" s="19">
        <f t="shared" si="4"/>
        <v>3465</v>
      </c>
      <c r="P31" s="19">
        <f t="shared" si="5"/>
        <v>5458</v>
      </c>
      <c r="Q31" s="19">
        <f t="shared" si="6"/>
        <v>27512</v>
      </c>
      <c r="R31" s="19">
        <f t="shared" si="7"/>
        <v>71707</v>
      </c>
      <c r="S31" s="19">
        <f t="shared" si="8"/>
        <v>11182</v>
      </c>
      <c r="T31" s="19">
        <f t="shared" si="9"/>
        <v>82889</v>
      </c>
      <c r="U31" s="61">
        <f t="shared" si="10"/>
        <v>110401</v>
      </c>
      <c r="V31" s="19">
        <v>109784</v>
      </c>
      <c r="W31" s="19">
        <f t="shared" si="11"/>
        <v>617</v>
      </c>
    </row>
    <row r="32" spans="1:23" x14ac:dyDescent="0.25">
      <c r="A32" s="28" t="s">
        <v>52</v>
      </c>
      <c r="B32" s="29" t="s">
        <v>594</v>
      </c>
      <c r="C32" s="19">
        <v>8814</v>
      </c>
      <c r="D32" s="19">
        <f>Tasandusfond!F32</f>
        <v>8311468</v>
      </c>
      <c r="E32" s="19">
        <v>620748.200000001</v>
      </c>
      <c r="F32" s="19">
        <v>1591433</v>
      </c>
      <c r="G32" s="19">
        <f t="shared" si="0"/>
        <v>10523649.200000001</v>
      </c>
      <c r="H32" s="19">
        <f t="shared" si="1"/>
        <v>1193.9697299750399</v>
      </c>
      <c r="I32" s="59">
        <f t="shared" si="2"/>
        <v>0.9459168115426726</v>
      </c>
      <c r="J32" s="18">
        <v>4.68</v>
      </c>
      <c r="K32" s="19">
        <v>87</v>
      </c>
      <c r="L32" s="18">
        <v>1320</v>
      </c>
      <c r="M32" s="19">
        <v>86</v>
      </c>
      <c r="N32" s="19">
        <f t="shared" si="3"/>
        <v>27136</v>
      </c>
      <c r="O32" s="19">
        <f t="shared" si="4"/>
        <v>3571</v>
      </c>
      <c r="P32" s="19">
        <f t="shared" si="5"/>
        <v>5096</v>
      </c>
      <c r="Q32" s="19">
        <f t="shared" si="6"/>
        <v>35803</v>
      </c>
      <c r="R32" s="19">
        <f t="shared" si="7"/>
        <v>103242</v>
      </c>
      <c r="S32" s="19">
        <f t="shared" si="8"/>
        <v>14586</v>
      </c>
      <c r="T32" s="19">
        <f t="shared" si="9"/>
        <v>117828</v>
      </c>
      <c r="U32" s="61">
        <f t="shared" si="10"/>
        <v>153631</v>
      </c>
      <c r="V32" s="19">
        <v>142116</v>
      </c>
      <c r="W32" s="19">
        <f t="shared" si="11"/>
        <v>11515</v>
      </c>
    </row>
    <row r="33" spans="1:23" x14ac:dyDescent="0.25">
      <c r="A33" s="28" t="s">
        <v>52</v>
      </c>
      <c r="B33" s="29" t="s">
        <v>51</v>
      </c>
      <c r="C33" s="19">
        <v>10117</v>
      </c>
      <c r="D33" s="19">
        <f>Tasandusfond!F33</f>
        <v>10359413</v>
      </c>
      <c r="E33" s="19">
        <v>264068.19000000099</v>
      </c>
      <c r="F33" s="19">
        <v>140093</v>
      </c>
      <c r="G33" s="19">
        <f t="shared" si="0"/>
        <v>10763574.190000001</v>
      </c>
      <c r="H33" s="19">
        <f t="shared" si="1"/>
        <v>1063.9096757932195</v>
      </c>
      <c r="I33" s="59">
        <f t="shared" si="2"/>
        <v>0.8428773552883615</v>
      </c>
      <c r="J33" s="18">
        <v>1.27</v>
      </c>
      <c r="K33" s="19">
        <v>147</v>
      </c>
      <c r="L33" s="18">
        <v>1477</v>
      </c>
      <c r="M33" s="19">
        <v>101</v>
      </c>
      <c r="N33" s="19">
        <f t="shared" si="3"/>
        <v>51455</v>
      </c>
      <c r="O33" s="19">
        <f t="shared" si="4"/>
        <v>4484</v>
      </c>
      <c r="P33" s="19">
        <f t="shared" si="5"/>
        <v>6717</v>
      </c>
      <c r="Q33" s="19">
        <f t="shared" si="6"/>
        <v>62656</v>
      </c>
      <c r="R33" s="19">
        <f t="shared" si="7"/>
        <v>35181</v>
      </c>
      <c r="S33" s="19">
        <f t="shared" si="8"/>
        <v>5217</v>
      </c>
      <c r="T33" s="19">
        <f t="shared" si="9"/>
        <v>40398</v>
      </c>
      <c r="U33" s="61">
        <f t="shared" si="10"/>
        <v>103054</v>
      </c>
      <c r="V33" s="19">
        <v>76216</v>
      </c>
      <c r="W33" s="19">
        <f t="shared" si="11"/>
        <v>26838</v>
      </c>
    </row>
    <row r="34" spans="1:23" x14ac:dyDescent="0.25">
      <c r="A34" s="28" t="s">
        <v>52</v>
      </c>
      <c r="B34" s="29" t="s">
        <v>370</v>
      </c>
      <c r="C34" s="19">
        <v>10677</v>
      </c>
      <c r="D34" s="19">
        <f>Tasandusfond!F34</f>
        <v>10004321</v>
      </c>
      <c r="E34" s="19">
        <v>533825.12</v>
      </c>
      <c r="F34" s="19">
        <v>1108933</v>
      </c>
      <c r="G34" s="19">
        <f t="shared" si="0"/>
        <v>11647079.119999999</v>
      </c>
      <c r="H34" s="19">
        <f t="shared" si="1"/>
        <v>1090.856899878243</v>
      </c>
      <c r="I34" s="59">
        <f t="shared" si="2"/>
        <v>0.86422616476526859</v>
      </c>
      <c r="J34" s="18">
        <v>2.7</v>
      </c>
      <c r="K34" s="19">
        <v>110</v>
      </c>
      <c r="L34" s="18">
        <v>1417</v>
      </c>
      <c r="M34" s="19">
        <v>94</v>
      </c>
      <c r="N34" s="19">
        <f t="shared" si="3"/>
        <v>37553</v>
      </c>
      <c r="O34" s="19">
        <f t="shared" si="4"/>
        <v>4196</v>
      </c>
      <c r="P34" s="19">
        <f t="shared" si="5"/>
        <v>6097</v>
      </c>
      <c r="Q34" s="19">
        <f t="shared" si="6"/>
        <v>47846</v>
      </c>
      <c r="R34" s="19">
        <f t="shared" si="7"/>
        <v>69984</v>
      </c>
      <c r="S34" s="19">
        <f t="shared" si="8"/>
        <v>10067</v>
      </c>
      <c r="T34" s="19">
        <f t="shared" si="9"/>
        <v>80051</v>
      </c>
      <c r="U34" s="61">
        <f t="shared" si="10"/>
        <v>127897</v>
      </c>
      <c r="V34" s="19">
        <v>144594</v>
      </c>
      <c r="W34" s="19">
        <f t="shared" si="11"/>
        <v>-16697</v>
      </c>
    </row>
    <row r="35" spans="1:23" x14ac:dyDescent="0.25">
      <c r="A35" s="28" t="s">
        <v>47</v>
      </c>
      <c r="B35" s="29" t="s">
        <v>48</v>
      </c>
      <c r="C35" s="19">
        <v>12878</v>
      </c>
      <c r="D35" s="19">
        <f>Tasandusfond!F35</f>
        <v>12003630</v>
      </c>
      <c r="E35" s="19">
        <v>393003.88000000088</v>
      </c>
      <c r="F35" s="19">
        <v>1122826</v>
      </c>
      <c r="G35" s="19">
        <f t="shared" si="0"/>
        <v>13519459.880000001</v>
      </c>
      <c r="H35" s="19">
        <f t="shared" si="1"/>
        <v>1049.8105202671222</v>
      </c>
      <c r="I35" s="59">
        <f t="shared" si="2"/>
        <v>0.83170736671505907</v>
      </c>
      <c r="J35" s="18">
        <v>1.46</v>
      </c>
      <c r="K35" s="19">
        <v>328</v>
      </c>
      <c r="L35" s="18">
        <v>1889</v>
      </c>
      <c r="M35" s="19">
        <v>98</v>
      </c>
      <c r="N35" s="19">
        <f t="shared" si="3"/>
        <v>116353</v>
      </c>
      <c r="O35" s="19">
        <f t="shared" si="4"/>
        <v>5812</v>
      </c>
      <c r="P35" s="19">
        <f t="shared" si="5"/>
        <v>6605</v>
      </c>
      <c r="Q35" s="19">
        <f t="shared" si="6"/>
        <v>128770</v>
      </c>
      <c r="R35" s="19">
        <f t="shared" si="7"/>
        <v>52421</v>
      </c>
      <c r="S35" s="19">
        <f t="shared" si="8"/>
        <v>5897</v>
      </c>
      <c r="T35" s="19">
        <f t="shared" si="9"/>
        <v>58318</v>
      </c>
      <c r="U35" s="61">
        <f t="shared" si="10"/>
        <v>187088</v>
      </c>
      <c r="V35" s="19">
        <v>127293</v>
      </c>
      <c r="W35" s="19">
        <f t="shared" si="11"/>
        <v>59795</v>
      </c>
    </row>
    <row r="36" spans="1:23" x14ac:dyDescent="0.25">
      <c r="A36" s="28" t="s">
        <v>47</v>
      </c>
      <c r="B36" s="29" t="s">
        <v>353</v>
      </c>
      <c r="C36" s="19">
        <v>7119</v>
      </c>
      <c r="D36" s="19">
        <f>Tasandusfond!F36</f>
        <v>6783856</v>
      </c>
      <c r="E36" s="19">
        <v>538604.93000000098</v>
      </c>
      <c r="F36" s="19">
        <v>1051149.2463729638</v>
      </c>
      <c r="G36" s="19">
        <f t="shared" si="0"/>
        <v>8373610.1763729639</v>
      </c>
      <c r="H36" s="19">
        <f t="shared" si="1"/>
        <v>1176.2340464072151</v>
      </c>
      <c r="I36" s="59">
        <f t="shared" si="2"/>
        <v>0.93186580101047323</v>
      </c>
      <c r="J36" s="18">
        <v>4.7</v>
      </c>
      <c r="K36" s="19">
        <v>90</v>
      </c>
      <c r="L36" s="18">
        <v>997</v>
      </c>
      <c r="M36" s="19">
        <v>42</v>
      </c>
      <c r="N36" s="19">
        <f t="shared" si="3"/>
        <v>28495</v>
      </c>
      <c r="O36" s="19">
        <f t="shared" si="4"/>
        <v>2738</v>
      </c>
      <c r="P36" s="19">
        <f t="shared" si="5"/>
        <v>2526</v>
      </c>
      <c r="Q36" s="19">
        <f t="shared" si="6"/>
        <v>33759</v>
      </c>
      <c r="R36" s="19">
        <f t="shared" si="7"/>
        <v>79493</v>
      </c>
      <c r="S36" s="19">
        <f t="shared" si="8"/>
        <v>7262</v>
      </c>
      <c r="T36" s="19">
        <f t="shared" si="9"/>
        <v>86755</v>
      </c>
      <c r="U36" s="61">
        <f t="shared" si="10"/>
        <v>120514</v>
      </c>
      <c r="V36" s="19">
        <v>108022</v>
      </c>
      <c r="W36" s="19">
        <f t="shared" si="11"/>
        <v>12492</v>
      </c>
    </row>
    <row r="37" spans="1:23" x14ac:dyDescent="0.25">
      <c r="A37" s="28" t="s">
        <v>47</v>
      </c>
      <c r="B37" s="29" t="s">
        <v>349</v>
      </c>
      <c r="C37" s="19">
        <v>444</v>
      </c>
      <c r="D37" s="19">
        <f>Tasandusfond!F37</f>
        <v>588104</v>
      </c>
      <c r="E37" s="19">
        <v>57841.86</v>
      </c>
      <c r="F37" s="19">
        <v>0</v>
      </c>
      <c r="G37" s="19">
        <f t="shared" si="0"/>
        <v>645945.86</v>
      </c>
      <c r="H37" s="19">
        <f t="shared" si="1"/>
        <v>1454.833018018018</v>
      </c>
      <c r="I37" s="59">
        <f t="shared" si="2"/>
        <v>1.1525845045999414</v>
      </c>
      <c r="J37" s="18">
        <v>5</v>
      </c>
      <c r="K37" s="19">
        <v>0</v>
      </c>
      <c r="L37" s="18">
        <v>33</v>
      </c>
      <c r="M37" s="19">
        <v>0</v>
      </c>
      <c r="N37" s="19">
        <f t="shared" si="3"/>
        <v>0</v>
      </c>
      <c r="O37" s="19">
        <f t="shared" si="4"/>
        <v>73</v>
      </c>
      <c r="P37" s="19">
        <f t="shared" si="5"/>
        <v>0</v>
      </c>
      <c r="Q37" s="19">
        <f t="shared" si="6"/>
        <v>73</v>
      </c>
      <c r="R37" s="19">
        <f t="shared" si="7"/>
        <v>2263</v>
      </c>
      <c r="S37" s="19">
        <f t="shared" si="8"/>
        <v>0</v>
      </c>
      <c r="T37" s="19">
        <f t="shared" si="9"/>
        <v>2263</v>
      </c>
      <c r="U37" s="61">
        <f t="shared" si="10"/>
        <v>2336</v>
      </c>
      <c r="V37" s="19">
        <v>1918</v>
      </c>
      <c r="W37" s="19">
        <f t="shared" si="11"/>
        <v>418</v>
      </c>
    </row>
    <row r="38" spans="1:23" x14ac:dyDescent="0.25">
      <c r="A38" s="28" t="s">
        <v>38</v>
      </c>
      <c r="B38" s="29" t="s">
        <v>344</v>
      </c>
      <c r="C38" s="19">
        <v>4343</v>
      </c>
      <c r="D38" s="19">
        <f>Tasandusfond!F38</f>
        <v>4794793</v>
      </c>
      <c r="E38" s="19">
        <v>334901.46000000299</v>
      </c>
      <c r="F38" s="19">
        <v>113652.05687707102</v>
      </c>
      <c r="G38" s="19">
        <f t="shared" si="0"/>
        <v>5243346.5168770738</v>
      </c>
      <c r="H38" s="19">
        <f t="shared" si="1"/>
        <v>1207.3098127739061</v>
      </c>
      <c r="I38" s="59">
        <f t="shared" si="2"/>
        <v>0.95648542837610151</v>
      </c>
      <c r="J38" s="18">
        <v>4.67</v>
      </c>
      <c r="K38" s="19">
        <v>18</v>
      </c>
      <c r="L38" s="18">
        <v>513</v>
      </c>
      <c r="M38" s="19">
        <v>14</v>
      </c>
      <c r="N38" s="19">
        <f t="shared" si="3"/>
        <v>5552</v>
      </c>
      <c r="O38" s="19">
        <f t="shared" si="4"/>
        <v>1373</v>
      </c>
      <c r="P38" s="19">
        <f t="shared" si="5"/>
        <v>820</v>
      </c>
      <c r="Q38" s="19">
        <f t="shared" si="6"/>
        <v>7745</v>
      </c>
      <c r="R38" s="19">
        <f t="shared" si="7"/>
        <v>39595</v>
      </c>
      <c r="S38" s="19">
        <f t="shared" si="8"/>
        <v>2343</v>
      </c>
      <c r="T38" s="19">
        <f t="shared" si="9"/>
        <v>41938</v>
      </c>
      <c r="U38" s="61">
        <f t="shared" si="10"/>
        <v>49683</v>
      </c>
      <c r="V38" s="19">
        <v>53184</v>
      </c>
      <c r="W38" s="19">
        <f t="shared" si="11"/>
        <v>-3501</v>
      </c>
    </row>
    <row r="39" spans="1:23" x14ac:dyDescent="0.25">
      <c r="A39" s="28" t="s">
        <v>38</v>
      </c>
      <c r="B39" s="29" t="s">
        <v>342</v>
      </c>
      <c r="C39" s="19">
        <v>4810</v>
      </c>
      <c r="D39" s="19">
        <f>Tasandusfond!F39</f>
        <v>4967036</v>
      </c>
      <c r="E39" s="19">
        <v>175616.91999999969</v>
      </c>
      <c r="F39" s="19">
        <v>570401</v>
      </c>
      <c r="G39" s="19">
        <f t="shared" si="0"/>
        <v>5713053.9199999999</v>
      </c>
      <c r="H39" s="19">
        <f t="shared" si="1"/>
        <v>1187.7450977130977</v>
      </c>
      <c r="I39" s="59">
        <f t="shared" si="2"/>
        <v>0.94098537638613389</v>
      </c>
      <c r="J39" s="18">
        <v>3.6</v>
      </c>
      <c r="K39" s="19">
        <v>36</v>
      </c>
      <c r="L39" s="18">
        <v>746</v>
      </c>
      <c r="M39" s="19">
        <v>37</v>
      </c>
      <c r="N39" s="19">
        <f t="shared" si="3"/>
        <v>11287</v>
      </c>
      <c r="O39" s="19">
        <f t="shared" si="4"/>
        <v>2029</v>
      </c>
      <c r="P39" s="19">
        <f t="shared" si="5"/>
        <v>2204</v>
      </c>
      <c r="Q39" s="19">
        <f t="shared" si="6"/>
        <v>15520</v>
      </c>
      <c r="R39" s="19">
        <f t="shared" si="7"/>
        <v>45118</v>
      </c>
      <c r="S39" s="19">
        <f t="shared" si="8"/>
        <v>4852</v>
      </c>
      <c r="T39" s="19">
        <f t="shared" si="9"/>
        <v>49970</v>
      </c>
      <c r="U39" s="61">
        <f t="shared" si="10"/>
        <v>65490</v>
      </c>
      <c r="V39" s="19">
        <v>64581</v>
      </c>
      <c r="W39" s="19">
        <f t="shared" si="11"/>
        <v>909</v>
      </c>
    </row>
    <row r="40" spans="1:23" x14ac:dyDescent="0.25">
      <c r="A40" s="28" t="s">
        <v>38</v>
      </c>
      <c r="B40" s="29" t="s">
        <v>336</v>
      </c>
      <c r="C40" s="19">
        <v>5599</v>
      </c>
      <c r="D40" s="19">
        <f>Tasandusfond!F40</f>
        <v>5440857</v>
      </c>
      <c r="E40" s="19">
        <v>161364.03999999972</v>
      </c>
      <c r="F40" s="19">
        <v>845205</v>
      </c>
      <c r="G40" s="19">
        <f t="shared" si="0"/>
        <v>6447426.04</v>
      </c>
      <c r="H40" s="19">
        <f t="shared" si="1"/>
        <v>1151.5317092337918</v>
      </c>
      <c r="I40" s="59">
        <f t="shared" si="2"/>
        <v>0.91229549245899511</v>
      </c>
      <c r="J40" s="18">
        <v>4.58</v>
      </c>
      <c r="K40" s="19">
        <v>24</v>
      </c>
      <c r="L40" s="18">
        <v>912</v>
      </c>
      <c r="M40" s="19">
        <v>37</v>
      </c>
      <c r="N40" s="19">
        <f t="shared" si="3"/>
        <v>7762</v>
      </c>
      <c r="O40" s="19">
        <f t="shared" si="4"/>
        <v>2558</v>
      </c>
      <c r="P40" s="19">
        <f t="shared" si="5"/>
        <v>2273</v>
      </c>
      <c r="Q40" s="19">
        <f t="shared" si="6"/>
        <v>12593</v>
      </c>
      <c r="R40" s="19">
        <f t="shared" si="7"/>
        <v>72379</v>
      </c>
      <c r="S40" s="19">
        <f t="shared" si="8"/>
        <v>6368</v>
      </c>
      <c r="T40" s="19">
        <f t="shared" si="9"/>
        <v>78747</v>
      </c>
      <c r="U40" s="61">
        <f t="shared" si="10"/>
        <v>91340</v>
      </c>
      <c r="V40" s="19">
        <v>85705</v>
      </c>
      <c r="W40" s="19">
        <f t="shared" si="11"/>
        <v>5635</v>
      </c>
    </row>
    <row r="41" spans="1:23" x14ac:dyDescent="0.25">
      <c r="A41" s="28" t="s">
        <v>38</v>
      </c>
      <c r="B41" s="29" t="s">
        <v>37</v>
      </c>
      <c r="C41" s="19">
        <v>14710</v>
      </c>
      <c r="D41" s="19">
        <f>Tasandusfond!F41</f>
        <v>14824705</v>
      </c>
      <c r="E41" s="19">
        <v>176643.44</v>
      </c>
      <c r="F41" s="19">
        <v>1421623</v>
      </c>
      <c r="G41" s="19">
        <f t="shared" si="0"/>
        <v>16422971.439999999</v>
      </c>
      <c r="H41" s="19">
        <f t="shared" si="1"/>
        <v>1116.4494520734195</v>
      </c>
      <c r="I41" s="59">
        <f t="shared" si="2"/>
        <v>0.88450174191261122</v>
      </c>
      <c r="J41" s="18">
        <v>0</v>
      </c>
      <c r="K41" s="19">
        <v>217</v>
      </c>
      <c r="L41" s="18">
        <v>2374</v>
      </c>
      <c r="M41" s="19">
        <v>116</v>
      </c>
      <c r="N41" s="19">
        <f t="shared" si="3"/>
        <v>72383</v>
      </c>
      <c r="O41" s="19">
        <f t="shared" si="4"/>
        <v>6869</v>
      </c>
      <c r="P41" s="19">
        <f t="shared" si="5"/>
        <v>7351</v>
      </c>
      <c r="Q41" s="19">
        <f t="shared" si="6"/>
        <v>86603</v>
      </c>
      <c r="R41" s="19">
        <f t="shared" si="7"/>
        <v>0</v>
      </c>
      <c r="S41" s="19">
        <f t="shared" si="8"/>
        <v>0</v>
      </c>
      <c r="T41" s="19">
        <f t="shared" si="9"/>
        <v>0</v>
      </c>
      <c r="U41" s="61">
        <f t="shared" si="10"/>
        <v>86603</v>
      </c>
      <c r="V41" s="19">
        <v>59302</v>
      </c>
      <c r="W41" s="19">
        <f t="shared" si="11"/>
        <v>27301</v>
      </c>
    </row>
    <row r="42" spans="1:23" x14ac:dyDescent="0.25">
      <c r="A42" s="28" t="s">
        <v>38</v>
      </c>
      <c r="B42" s="29" t="s">
        <v>328</v>
      </c>
      <c r="C42" s="19">
        <v>10549</v>
      </c>
      <c r="D42" s="19">
        <f>Tasandusfond!F42</f>
        <v>9065728</v>
      </c>
      <c r="E42" s="19">
        <v>293449.450000001</v>
      </c>
      <c r="F42" s="19">
        <v>1933180</v>
      </c>
      <c r="G42" s="19">
        <f t="shared" si="0"/>
        <v>11292357.450000001</v>
      </c>
      <c r="H42" s="19">
        <f t="shared" si="1"/>
        <v>1070.4671011470282</v>
      </c>
      <c r="I42" s="59">
        <f t="shared" si="2"/>
        <v>0.84807244418122096</v>
      </c>
      <c r="J42" s="18">
        <v>1.82</v>
      </c>
      <c r="K42" s="19">
        <v>220</v>
      </c>
      <c r="L42" s="18">
        <v>1514</v>
      </c>
      <c r="M42" s="19">
        <v>110</v>
      </c>
      <c r="N42" s="19">
        <f t="shared" si="3"/>
        <v>76536</v>
      </c>
      <c r="O42" s="19">
        <f t="shared" si="4"/>
        <v>4569</v>
      </c>
      <c r="P42" s="19">
        <f t="shared" si="5"/>
        <v>7271</v>
      </c>
      <c r="Q42" s="19">
        <f t="shared" si="6"/>
        <v>88376</v>
      </c>
      <c r="R42" s="19">
        <f t="shared" si="7"/>
        <v>51363</v>
      </c>
      <c r="S42" s="19">
        <f t="shared" si="8"/>
        <v>8092</v>
      </c>
      <c r="T42" s="19">
        <f t="shared" si="9"/>
        <v>59455</v>
      </c>
      <c r="U42" s="61">
        <f t="shared" si="10"/>
        <v>147831</v>
      </c>
      <c r="V42" s="19">
        <v>139197</v>
      </c>
      <c r="W42" s="19">
        <f t="shared" si="11"/>
        <v>8634</v>
      </c>
    </row>
    <row r="43" spans="1:23" x14ac:dyDescent="0.25">
      <c r="A43" s="28" t="s">
        <v>38</v>
      </c>
      <c r="B43" s="29" t="s">
        <v>324</v>
      </c>
      <c r="C43" s="19">
        <v>6797</v>
      </c>
      <c r="D43" s="19">
        <f>Tasandusfond!F43</f>
        <v>5895831</v>
      </c>
      <c r="E43" s="19">
        <v>499386.44999999896</v>
      </c>
      <c r="F43" s="19">
        <v>1525535</v>
      </c>
      <c r="G43" s="19">
        <f t="shared" si="0"/>
        <v>7920752.4499999993</v>
      </c>
      <c r="H43" s="19">
        <f t="shared" si="1"/>
        <v>1165.3306532293657</v>
      </c>
      <c r="I43" s="59">
        <f t="shared" si="2"/>
        <v>0.9232276398822149</v>
      </c>
      <c r="J43" s="18">
        <v>4.7699999999999996</v>
      </c>
      <c r="K43" s="19">
        <v>65</v>
      </c>
      <c r="L43" s="18">
        <v>947</v>
      </c>
      <c r="M43" s="19">
        <v>64</v>
      </c>
      <c r="N43" s="19">
        <f t="shared" si="3"/>
        <v>20772</v>
      </c>
      <c r="O43" s="19">
        <f t="shared" si="4"/>
        <v>2625</v>
      </c>
      <c r="P43" s="19">
        <f t="shared" si="5"/>
        <v>3886</v>
      </c>
      <c r="Q43" s="19">
        <f t="shared" si="6"/>
        <v>27283</v>
      </c>
      <c r="R43" s="19">
        <f t="shared" si="7"/>
        <v>77348</v>
      </c>
      <c r="S43" s="19">
        <f t="shared" si="8"/>
        <v>11335</v>
      </c>
      <c r="T43" s="19">
        <f t="shared" si="9"/>
        <v>88683</v>
      </c>
      <c r="U43" s="61">
        <f t="shared" si="10"/>
        <v>115966</v>
      </c>
      <c r="V43" s="19">
        <v>126036</v>
      </c>
      <c r="W43" s="19">
        <f t="shared" si="11"/>
        <v>-10070</v>
      </c>
    </row>
    <row r="44" spans="1:23" x14ac:dyDescent="0.25">
      <c r="A44" s="28" t="s">
        <v>38</v>
      </c>
      <c r="B44" s="29" t="s">
        <v>322</v>
      </c>
      <c r="C44" s="19">
        <v>5610</v>
      </c>
      <c r="D44" s="19">
        <f>Tasandusfond!F44</f>
        <v>4752197</v>
      </c>
      <c r="E44" s="19">
        <v>208844.12</v>
      </c>
      <c r="F44" s="19">
        <v>773499</v>
      </c>
      <c r="G44" s="19">
        <f t="shared" si="0"/>
        <v>5734540.1200000001</v>
      </c>
      <c r="H44" s="19">
        <f t="shared" si="1"/>
        <v>1022.1996648841355</v>
      </c>
      <c r="I44" s="59">
        <f t="shared" si="2"/>
        <v>0.80983279851441747</v>
      </c>
      <c r="J44" s="18">
        <v>2.96</v>
      </c>
      <c r="K44" s="19">
        <v>86</v>
      </c>
      <c r="L44" s="18">
        <v>758</v>
      </c>
      <c r="M44" s="19">
        <v>49</v>
      </c>
      <c r="N44" s="19">
        <f t="shared" si="3"/>
        <v>31331</v>
      </c>
      <c r="O44" s="19">
        <f t="shared" si="4"/>
        <v>2395</v>
      </c>
      <c r="P44" s="19">
        <f t="shared" si="5"/>
        <v>3392</v>
      </c>
      <c r="Q44" s="19">
        <f t="shared" si="6"/>
        <v>37118</v>
      </c>
      <c r="R44" s="19">
        <f t="shared" si="7"/>
        <v>43798</v>
      </c>
      <c r="S44" s="19">
        <f t="shared" si="8"/>
        <v>6139</v>
      </c>
      <c r="T44" s="19">
        <f t="shared" si="9"/>
        <v>49937</v>
      </c>
      <c r="U44" s="61">
        <f t="shared" si="10"/>
        <v>87055</v>
      </c>
      <c r="V44" s="19">
        <v>61505</v>
      </c>
      <c r="W44" s="19">
        <f t="shared" si="11"/>
        <v>25550</v>
      </c>
    </row>
    <row r="45" spans="1:23" x14ac:dyDescent="0.25">
      <c r="A45" s="28" t="s">
        <v>38</v>
      </c>
      <c r="B45" s="29" t="s">
        <v>320</v>
      </c>
      <c r="C45" s="19">
        <v>5704</v>
      </c>
      <c r="D45" s="19">
        <f>Tasandusfond!F45</f>
        <v>4919871</v>
      </c>
      <c r="E45" s="19">
        <v>386037.52</v>
      </c>
      <c r="F45" s="19">
        <v>1230437</v>
      </c>
      <c r="G45" s="19">
        <f t="shared" si="0"/>
        <v>6536345.5199999996</v>
      </c>
      <c r="H45" s="19">
        <f t="shared" si="1"/>
        <v>1145.9231276297335</v>
      </c>
      <c r="I45" s="59">
        <f t="shared" si="2"/>
        <v>0.90785212049151753</v>
      </c>
      <c r="J45" s="18">
        <v>4.4800000000000004</v>
      </c>
      <c r="K45" s="19">
        <v>72</v>
      </c>
      <c r="L45" s="18">
        <v>810</v>
      </c>
      <c r="M45" s="19">
        <v>54</v>
      </c>
      <c r="N45" s="19">
        <f t="shared" si="3"/>
        <v>23399</v>
      </c>
      <c r="O45" s="19">
        <f t="shared" si="4"/>
        <v>2283</v>
      </c>
      <c r="P45" s="19">
        <f t="shared" si="5"/>
        <v>3334</v>
      </c>
      <c r="Q45" s="19">
        <f t="shared" si="6"/>
        <v>29016</v>
      </c>
      <c r="R45" s="19">
        <f t="shared" si="7"/>
        <v>63188</v>
      </c>
      <c r="S45" s="19">
        <f t="shared" si="8"/>
        <v>9135</v>
      </c>
      <c r="T45" s="19">
        <f t="shared" si="9"/>
        <v>72323</v>
      </c>
      <c r="U45" s="61">
        <f t="shared" si="10"/>
        <v>101339</v>
      </c>
      <c r="V45" s="19">
        <v>117846</v>
      </c>
      <c r="W45" s="19">
        <f t="shared" si="11"/>
        <v>-16507</v>
      </c>
    </row>
    <row r="46" spans="1:23" x14ac:dyDescent="0.25">
      <c r="A46" s="28" t="s">
        <v>35</v>
      </c>
      <c r="B46" s="29" t="s">
        <v>316</v>
      </c>
      <c r="C46" s="19">
        <v>4805</v>
      </c>
      <c r="D46" s="19">
        <f>Tasandusfond!F46</f>
        <v>4764126</v>
      </c>
      <c r="E46" s="19">
        <v>265469.78000000102</v>
      </c>
      <c r="F46" s="19">
        <v>711966</v>
      </c>
      <c r="G46" s="19">
        <f t="shared" si="0"/>
        <v>5741561.7800000012</v>
      </c>
      <c r="H46" s="19">
        <f t="shared" si="1"/>
        <v>1194.9140020811658</v>
      </c>
      <c r="I46" s="59">
        <f t="shared" si="2"/>
        <v>0.94666490660524505</v>
      </c>
      <c r="J46" s="18">
        <v>4.95</v>
      </c>
      <c r="K46" s="19">
        <v>36</v>
      </c>
      <c r="L46" s="18">
        <v>616</v>
      </c>
      <c r="M46" s="19">
        <v>34</v>
      </c>
      <c r="N46" s="19">
        <f t="shared" si="3"/>
        <v>11220</v>
      </c>
      <c r="O46" s="19">
        <f t="shared" si="4"/>
        <v>1665</v>
      </c>
      <c r="P46" s="19">
        <f t="shared" si="5"/>
        <v>2013</v>
      </c>
      <c r="Q46" s="19">
        <f t="shared" si="6"/>
        <v>14898</v>
      </c>
      <c r="R46" s="19">
        <f t="shared" si="7"/>
        <v>50919</v>
      </c>
      <c r="S46" s="19">
        <f t="shared" si="8"/>
        <v>6094</v>
      </c>
      <c r="T46" s="19">
        <f t="shared" si="9"/>
        <v>57013</v>
      </c>
      <c r="U46" s="61">
        <f t="shared" si="10"/>
        <v>71911</v>
      </c>
      <c r="V46" s="19">
        <v>85700</v>
      </c>
      <c r="W46" s="19">
        <f t="shared" si="11"/>
        <v>-13789</v>
      </c>
    </row>
    <row r="47" spans="1:23" x14ac:dyDescent="0.25">
      <c r="A47" s="28" t="s">
        <v>35</v>
      </c>
      <c r="B47" s="29" t="s">
        <v>304</v>
      </c>
      <c r="C47" s="19">
        <v>13462</v>
      </c>
      <c r="D47" s="19">
        <f>Tasandusfond!F47</f>
        <v>12015627</v>
      </c>
      <c r="E47" s="19">
        <v>399889.33000000101</v>
      </c>
      <c r="F47" s="19">
        <v>2065278</v>
      </c>
      <c r="G47" s="19">
        <f t="shared" si="0"/>
        <v>14480794.330000002</v>
      </c>
      <c r="H47" s="19">
        <f t="shared" si="1"/>
        <v>1075.6792697964643</v>
      </c>
      <c r="I47" s="59">
        <f t="shared" si="2"/>
        <v>0.85220175988020475</v>
      </c>
      <c r="J47" s="18">
        <v>3.09</v>
      </c>
      <c r="K47" s="19">
        <v>177</v>
      </c>
      <c r="L47" s="18">
        <v>1872</v>
      </c>
      <c r="M47" s="19">
        <v>113</v>
      </c>
      <c r="N47" s="19">
        <f t="shared" si="3"/>
        <v>61278</v>
      </c>
      <c r="O47" s="19">
        <f t="shared" si="4"/>
        <v>5621</v>
      </c>
      <c r="P47" s="19">
        <f t="shared" si="5"/>
        <v>7433</v>
      </c>
      <c r="Q47" s="19">
        <f t="shared" si="6"/>
        <v>74332</v>
      </c>
      <c r="R47" s="19">
        <f t="shared" si="7"/>
        <v>107303</v>
      </c>
      <c r="S47" s="19">
        <f t="shared" si="8"/>
        <v>14045</v>
      </c>
      <c r="T47" s="19">
        <f t="shared" si="9"/>
        <v>121348</v>
      </c>
      <c r="U47" s="61">
        <f t="shared" si="10"/>
        <v>195680</v>
      </c>
      <c r="V47" s="19">
        <v>280602</v>
      </c>
      <c r="W47" s="19">
        <f t="shared" si="11"/>
        <v>-84922</v>
      </c>
    </row>
    <row r="48" spans="1:23" x14ac:dyDescent="0.25">
      <c r="A48" s="28" t="s">
        <v>35</v>
      </c>
      <c r="B48" s="29" t="s">
        <v>302</v>
      </c>
      <c r="C48" s="19">
        <v>6172</v>
      </c>
      <c r="D48" s="19">
        <f>Tasandusfond!F48</f>
        <v>5272172</v>
      </c>
      <c r="E48" s="19">
        <v>184376.78999999989</v>
      </c>
      <c r="F48" s="19">
        <v>993195.91808375157</v>
      </c>
      <c r="G48" s="19">
        <f t="shared" si="0"/>
        <v>6449744.7080837516</v>
      </c>
      <c r="H48" s="19">
        <f t="shared" si="1"/>
        <v>1045.0007628133103</v>
      </c>
      <c r="I48" s="59">
        <f t="shared" si="2"/>
        <v>0.82789685936233204</v>
      </c>
      <c r="J48" s="18">
        <v>4.3600000000000003</v>
      </c>
      <c r="K48" s="19">
        <v>35</v>
      </c>
      <c r="L48" s="18">
        <v>708</v>
      </c>
      <c r="M48" s="19">
        <v>55</v>
      </c>
      <c r="N48" s="19">
        <f t="shared" si="3"/>
        <v>12473</v>
      </c>
      <c r="O48" s="19">
        <f t="shared" si="4"/>
        <v>2188</v>
      </c>
      <c r="P48" s="19">
        <f t="shared" si="5"/>
        <v>3724</v>
      </c>
      <c r="Q48" s="19">
        <f t="shared" si="6"/>
        <v>18385</v>
      </c>
      <c r="R48" s="19">
        <f t="shared" si="7"/>
        <v>58943</v>
      </c>
      <c r="S48" s="19">
        <f t="shared" si="8"/>
        <v>9929</v>
      </c>
      <c r="T48" s="19">
        <f t="shared" si="9"/>
        <v>68872</v>
      </c>
      <c r="U48" s="61">
        <f t="shared" si="10"/>
        <v>87257</v>
      </c>
      <c r="V48" s="19">
        <v>85456</v>
      </c>
      <c r="W48" s="19">
        <f t="shared" si="11"/>
        <v>1801</v>
      </c>
    </row>
    <row r="49" spans="1:23" x14ac:dyDescent="0.25">
      <c r="A49" s="28" t="s">
        <v>28</v>
      </c>
      <c r="B49" s="29" t="s">
        <v>283</v>
      </c>
      <c r="C49" s="19">
        <v>4986</v>
      </c>
      <c r="D49" s="19">
        <f>Tasandusfond!F49</f>
        <v>4510412</v>
      </c>
      <c r="E49" s="19">
        <v>222623.87</v>
      </c>
      <c r="F49" s="19">
        <v>1148264</v>
      </c>
      <c r="G49" s="19">
        <f t="shared" si="0"/>
        <v>5881299.8700000001</v>
      </c>
      <c r="H49" s="19">
        <f t="shared" si="1"/>
        <v>1179.5627496991576</v>
      </c>
      <c r="I49" s="59">
        <f t="shared" si="2"/>
        <v>0.9345029502827179</v>
      </c>
      <c r="J49" s="18">
        <v>4.7</v>
      </c>
      <c r="K49" s="19">
        <v>51</v>
      </c>
      <c r="L49" s="18">
        <v>732</v>
      </c>
      <c r="M49" s="19">
        <v>19</v>
      </c>
      <c r="N49" s="19">
        <f t="shared" si="3"/>
        <v>16101</v>
      </c>
      <c r="O49" s="19">
        <f t="shared" si="4"/>
        <v>2005</v>
      </c>
      <c r="P49" s="19">
        <f t="shared" si="5"/>
        <v>1140</v>
      </c>
      <c r="Q49" s="19">
        <f t="shared" si="6"/>
        <v>19246</v>
      </c>
      <c r="R49" s="19">
        <f t="shared" si="7"/>
        <v>58199</v>
      </c>
      <c r="S49" s="19">
        <f t="shared" si="8"/>
        <v>3276</v>
      </c>
      <c r="T49" s="19">
        <f t="shared" si="9"/>
        <v>61475</v>
      </c>
      <c r="U49" s="61">
        <f t="shared" si="10"/>
        <v>80721</v>
      </c>
      <c r="V49" s="19">
        <v>79908</v>
      </c>
      <c r="W49" s="19">
        <f t="shared" si="11"/>
        <v>813</v>
      </c>
    </row>
    <row r="50" spans="1:23" x14ac:dyDescent="0.25">
      <c r="A50" s="28" t="s">
        <v>28</v>
      </c>
      <c r="B50" s="29" t="s">
        <v>281</v>
      </c>
      <c r="C50" s="19">
        <v>703</v>
      </c>
      <c r="D50" s="19">
        <f>Tasandusfond!F50</f>
        <v>682204</v>
      </c>
      <c r="E50" s="19">
        <v>3502.09</v>
      </c>
      <c r="F50" s="19">
        <v>30643</v>
      </c>
      <c r="G50" s="19">
        <f t="shared" si="0"/>
        <v>716349.09</v>
      </c>
      <c r="H50" s="19">
        <f t="shared" si="1"/>
        <v>1018.9887482219061</v>
      </c>
      <c r="I50" s="59">
        <f t="shared" si="2"/>
        <v>0.80728896513655723</v>
      </c>
      <c r="J50" s="18">
        <v>5</v>
      </c>
      <c r="K50" s="19">
        <v>2</v>
      </c>
      <c r="L50" s="18">
        <v>62</v>
      </c>
      <c r="M50" s="19">
        <v>0</v>
      </c>
      <c r="N50" s="19">
        <f t="shared" si="3"/>
        <v>731</v>
      </c>
      <c r="O50" s="19">
        <f t="shared" si="4"/>
        <v>197</v>
      </c>
      <c r="P50" s="19">
        <f t="shared" si="5"/>
        <v>0</v>
      </c>
      <c r="Q50" s="19">
        <f t="shared" si="6"/>
        <v>928</v>
      </c>
      <c r="R50" s="19">
        <f t="shared" si="7"/>
        <v>6070</v>
      </c>
      <c r="S50" s="19">
        <f t="shared" si="8"/>
        <v>0</v>
      </c>
      <c r="T50" s="19">
        <f t="shared" si="9"/>
        <v>6070</v>
      </c>
      <c r="U50" s="61">
        <f t="shared" si="10"/>
        <v>6998</v>
      </c>
      <c r="V50" s="19">
        <v>11112</v>
      </c>
      <c r="W50" s="19">
        <f t="shared" si="11"/>
        <v>-4114</v>
      </c>
    </row>
    <row r="51" spans="1:23" x14ac:dyDescent="0.25">
      <c r="A51" s="28" t="s">
        <v>28</v>
      </c>
      <c r="B51" s="29" t="s">
        <v>595</v>
      </c>
      <c r="C51" s="19">
        <v>5219</v>
      </c>
      <c r="D51" s="19">
        <f>Tasandusfond!F51</f>
        <v>4314750</v>
      </c>
      <c r="E51" s="19">
        <v>409286.92000000097</v>
      </c>
      <c r="F51" s="19">
        <v>789694</v>
      </c>
      <c r="G51" s="19">
        <f t="shared" si="0"/>
        <v>5513730.9200000009</v>
      </c>
      <c r="H51" s="19">
        <f t="shared" si="1"/>
        <v>1056.4726805901516</v>
      </c>
      <c r="I51" s="59">
        <f t="shared" si="2"/>
        <v>0.83698543138666326</v>
      </c>
      <c r="J51" s="18">
        <v>4.7</v>
      </c>
      <c r="K51" s="19">
        <v>41</v>
      </c>
      <c r="L51" s="18">
        <v>616</v>
      </c>
      <c r="M51" s="19">
        <v>29</v>
      </c>
      <c r="N51" s="19">
        <f t="shared" si="3"/>
        <v>14452</v>
      </c>
      <c r="O51" s="19">
        <f t="shared" si="4"/>
        <v>1883</v>
      </c>
      <c r="P51" s="19">
        <f t="shared" si="5"/>
        <v>1942</v>
      </c>
      <c r="Q51" s="19">
        <f t="shared" si="6"/>
        <v>18277</v>
      </c>
      <c r="R51" s="19">
        <f t="shared" si="7"/>
        <v>54683</v>
      </c>
      <c r="S51" s="19">
        <f t="shared" si="8"/>
        <v>5582</v>
      </c>
      <c r="T51" s="19">
        <f t="shared" si="9"/>
        <v>60265</v>
      </c>
      <c r="U51" s="61">
        <f t="shared" si="10"/>
        <v>78542</v>
      </c>
      <c r="V51" s="19">
        <v>104732</v>
      </c>
      <c r="W51" s="19">
        <f t="shared" si="11"/>
        <v>-26190</v>
      </c>
    </row>
    <row r="52" spans="1:23" x14ac:dyDescent="0.25">
      <c r="A52" s="28" t="s">
        <v>28</v>
      </c>
      <c r="B52" s="29" t="s">
        <v>596</v>
      </c>
      <c r="C52" s="19">
        <v>7931</v>
      </c>
      <c r="D52" s="19">
        <f>Tasandusfond!F52</f>
        <v>7052987</v>
      </c>
      <c r="E52" s="19">
        <v>305717.42000000097</v>
      </c>
      <c r="F52" s="19">
        <v>1383037</v>
      </c>
      <c r="G52" s="19">
        <f t="shared" si="0"/>
        <v>8741741.4200000018</v>
      </c>
      <c r="H52" s="19">
        <f t="shared" si="1"/>
        <v>1102.2243626276638</v>
      </c>
      <c r="I52" s="59">
        <f t="shared" si="2"/>
        <v>0.8732319827934083</v>
      </c>
      <c r="J52" s="18">
        <v>4.3</v>
      </c>
      <c r="K52" s="19">
        <v>49</v>
      </c>
      <c r="L52" s="18">
        <v>1002</v>
      </c>
      <c r="M52" s="19">
        <v>55</v>
      </c>
      <c r="N52" s="19">
        <f t="shared" si="3"/>
        <v>16555</v>
      </c>
      <c r="O52" s="19">
        <f t="shared" si="4"/>
        <v>2936</v>
      </c>
      <c r="P52" s="19">
        <f t="shared" si="5"/>
        <v>3531</v>
      </c>
      <c r="Q52" s="19">
        <f t="shared" si="6"/>
        <v>23022</v>
      </c>
      <c r="R52" s="19">
        <f t="shared" si="7"/>
        <v>78000</v>
      </c>
      <c r="S52" s="19">
        <f t="shared" si="8"/>
        <v>9284</v>
      </c>
      <c r="T52" s="19">
        <f t="shared" si="9"/>
        <v>87284</v>
      </c>
      <c r="U52" s="61">
        <f t="shared" si="10"/>
        <v>110306</v>
      </c>
      <c r="V52" s="19">
        <v>117320</v>
      </c>
      <c r="W52" s="19">
        <f t="shared" si="11"/>
        <v>-7014</v>
      </c>
    </row>
    <row r="53" spans="1:23" x14ac:dyDescent="0.25">
      <c r="A53" s="28" t="s">
        <v>28</v>
      </c>
      <c r="B53" s="29" t="s">
        <v>30</v>
      </c>
      <c r="C53" s="19">
        <v>50942</v>
      </c>
      <c r="D53" s="19">
        <f>Tasandusfond!F53</f>
        <v>48675684</v>
      </c>
      <c r="E53" s="19">
        <v>1659669.0500000063</v>
      </c>
      <c r="F53" s="19">
        <v>6092454</v>
      </c>
      <c r="G53" s="19">
        <f t="shared" si="0"/>
        <v>56427807.050000004</v>
      </c>
      <c r="H53" s="19">
        <f t="shared" si="1"/>
        <v>1107.6873120411449</v>
      </c>
      <c r="I53" s="59">
        <f t="shared" si="2"/>
        <v>0.87755997835400501</v>
      </c>
      <c r="J53" s="18">
        <v>0.71</v>
      </c>
      <c r="K53" s="19">
        <v>764</v>
      </c>
      <c r="L53" s="18">
        <v>7771</v>
      </c>
      <c r="M53" s="19">
        <v>321</v>
      </c>
      <c r="N53" s="19">
        <f t="shared" si="3"/>
        <v>256857</v>
      </c>
      <c r="O53" s="19">
        <f t="shared" si="4"/>
        <v>22661</v>
      </c>
      <c r="P53" s="19">
        <f t="shared" si="5"/>
        <v>20504</v>
      </c>
      <c r="Q53" s="19">
        <f t="shared" si="6"/>
        <v>300022</v>
      </c>
      <c r="R53" s="19">
        <f t="shared" si="7"/>
        <v>99391</v>
      </c>
      <c r="S53" s="19">
        <f t="shared" si="8"/>
        <v>8903</v>
      </c>
      <c r="T53" s="19">
        <f t="shared" si="9"/>
        <v>108294</v>
      </c>
      <c r="U53" s="61">
        <f t="shared" si="10"/>
        <v>408316</v>
      </c>
      <c r="V53" s="19">
        <v>357995</v>
      </c>
      <c r="W53" s="19">
        <f t="shared" si="11"/>
        <v>50321</v>
      </c>
    </row>
    <row r="54" spans="1:23" x14ac:dyDescent="0.25">
      <c r="A54" s="28" t="s">
        <v>28</v>
      </c>
      <c r="B54" s="29" t="s">
        <v>275</v>
      </c>
      <c r="C54" s="19">
        <v>4419</v>
      </c>
      <c r="D54" s="19">
        <f>Tasandusfond!F54</f>
        <v>3821475</v>
      </c>
      <c r="E54" s="19">
        <v>406652.65000000101</v>
      </c>
      <c r="F54" s="19">
        <v>517863</v>
      </c>
      <c r="G54" s="19">
        <f t="shared" si="0"/>
        <v>4745990.6500000013</v>
      </c>
      <c r="H54" s="19">
        <f t="shared" si="1"/>
        <v>1073.996526363431</v>
      </c>
      <c r="I54" s="59">
        <f t="shared" si="2"/>
        <v>0.85086861443869299</v>
      </c>
      <c r="J54" s="18">
        <v>4.49</v>
      </c>
      <c r="K54" s="19">
        <v>81</v>
      </c>
      <c r="L54" s="18">
        <v>533</v>
      </c>
      <c r="M54" s="19">
        <v>10</v>
      </c>
      <c r="N54" s="19">
        <f t="shared" si="3"/>
        <v>28087</v>
      </c>
      <c r="O54" s="19">
        <f t="shared" si="4"/>
        <v>1603</v>
      </c>
      <c r="P54" s="19">
        <f t="shared" si="5"/>
        <v>659</v>
      </c>
      <c r="Q54" s="19">
        <f t="shared" si="6"/>
        <v>30349</v>
      </c>
      <c r="R54" s="19">
        <f t="shared" si="7"/>
        <v>44463</v>
      </c>
      <c r="S54" s="19">
        <f t="shared" si="8"/>
        <v>1809</v>
      </c>
      <c r="T54" s="19">
        <f t="shared" si="9"/>
        <v>46272</v>
      </c>
      <c r="U54" s="61">
        <f t="shared" si="10"/>
        <v>76621</v>
      </c>
      <c r="V54" s="19">
        <v>69613</v>
      </c>
      <c r="W54" s="19">
        <f t="shared" si="11"/>
        <v>7008</v>
      </c>
    </row>
    <row r="55" spans="1:23" x14ac:dyDescent="0.25">
      <c r="A55" s="28" t="s">
        <v>28</v>
      </c>
      <c r="B55" s="29" t="s">
        <v>265</v>
      </c>
      <c r="C55" s="19">
        <v>12202</v>
      </c>
      <c r="D55" s="19">
        <f>Tasandusfond!F55</f>
        <v>11662543</v>
      </c>
      <c r="E55" s="19">
        <v>258593.1300000007</v>
      </c>
      <c r="F55" s="19">
        <v>2956845</v>
      </c>
      <c r="G55" s="19">
        <f t="shared" si="0"/>
        <v>14877981.130000001</v>
      </c>
      <c r="H55" s="19">
        <f t="shared" si="1"/>
        <v>1219.306763645304</v>
      </c>
      <c r="I55" s="59">
        <f t="shared" si="2"/>
        <v>0.96598995536000087</v>
      </c>
      <c r="J55" s="18">
        <v>2.72</v>
      </c>
      <c r="K55" s="19">
        <v>91</v>
      </c>
      <c r="L55" s="18">
        <v>2010</v>
      </c>
      <c r="M55" s="19">
        <v>122</v>
      </c>
      <c r="N55" s="19">
        <f t="shared" si="3"/>
        <v>27794</v>
      </c>
      <c r="O55" s="19">
        <f t="shared" si="4"/>
        <v>5325</v>
      </c>
      <c r="P55" s="19">
        <f t="shared" si="5"/>
        <v>7079</v>
      </c>
      <c r="Q55" s="19">
        <f t="shared" si="6"/>
        <v>40198</v>
      </c>
      <c r="R55" s="19">
        <f t="shared" si="7"/>
        <v>89471</v>
      </c>
      <c r="S55" s="19">
        <f t="shared" si="8"/>
        <v>11776</v>
      </c>
      <c r="T55" s="19">
        <f t="shared" si="9"/>
        <v>101247</v>
      </c>
      <c r="U55" s="61">
        <f t="shared" si="10"/>
        <v>141445</v>
      </c>
      <c r="V55" s="19">
        <v>149149</v>
      </c>
      <c r="W55" s="19">
        <f t="shared" si="11"/>
        <v>-7704</v>
      </c>
    </row>
    <row r="56" spans="1:23" x14ac:dyDescent="0.25">
      <c r="A56" s="28" t="s">
        <v>24</v>
      </c>
      <c r="B56" s="29" t="s">
        <v>249</v>
      </c>
      <c r="C56" s="19">
        <v>5405</v>
      </c>
      <c r="D56" s="19">
        <f>Tasandusfond!F56</f>
        <v>5437457</v>
      </c>
      <c r="E56" s="19">
        <v>225004.62999999989</v>
      </c>
      <c r="F56" s="19">
        <v>827623</v>
      </c>
      <c r="G56" s="19">
        <f t="shared" si="0"/>
        <v>6490084.6299999999</v>
      </c>
      <c r="H56" s="19">
        <f t="shared" si="1"/>
        <v>1200.7557132284921</v>
      </c>
      <c r="I56" s="59">
        <f t="shared" si="2"/>
        <v>0.9512929743390458</v>
      </c>
      <c r="J56" s="18">
        <v>4.49</v>
      </c>
      <c r="K56" s="19">
        <v>115</v>
      </c>
      <c r="L56" s="18">
        <v>792</v>
      </c>
      <c r="M56" s="19">
        <v>50</v>
      </c>
      <c r="N56" s="19">
        <f t="shared" si="3"/>
        <v>35666</v>
      </c>
      <c r="O56" s="19">
        <f t="shared" si="4"/>
        <v>2131</v>
      </c>
      <c r="P56" s="19">
        <f t="shared" si="5"/>
        <v>2946</v>
      </c>
      <c r="Q56" s="19">
        <f t="shared" si="6"/>
        <v>40743</v>
      </c>
      <c r="R56" s="19">
        <f t="shared" si="7"/>
        <v>59095</v>
      </c>
      <c r="S56" s="19">
        <f t="shared" si="8"/>
        <v>8090</v>
      </c>
      <c r="T56" s="19">
        <f t="shared" si="9"/>
        <v>67185</v>
      </c>
      <c r="U56" s="61">
        <f t="shared" si="10"/>
        <v>107928</v>
      </c>
      <c r="V56" s="19">
        <v>152957</v>
      </c>
      <c r="W56" s="19">
        <f t="shared" si="11"/>
        <v>-45029</v>
      </c>
    </row>
    <row r="57" spans="1:23" x14ac:dyDescent="0.25">
      <c r="A57" s="28" t="s">
        <v>24</v>
      </c>
      <c r="B57" s="29" t="s">
        <v>247</v>
      </c>
      <c r="C57" s="19">
        <v>7602</v>
      </c>
      <c r="D57" s="19">
        <f>Tasandusfond!F57</f>
        <v>8992747</v>
      </c>
      <c r="E57" s="19">
        <v>274702.840000002</v>
      </c>
      <c r="F57" s="19">
        <v>626930</v>
      </c>
      <c r="G57" s="19">
        <f t="shared" si="0"/>
        <v>9894379.8400000017</v>
      </c>
      <c r="H57" s="19">
        <f t="shared" si="1"/>
        <v>1301.549571165483</v>
      </c>
      <c r="I57" s="59">
        <f t="shared" si="2"/>
        <v>1.0311464265072483</v>
      </c>
      <c r="J57" s="18">
        <v>2.27</v>
      </c>
      <c r="K57" s="19">
        <v>36</v>
      </c>
      <c r="L57" s="18">
        <v>1393</v>
      </c>
      <c r="M57" s="19">
        <v>49</v>
      </c>
      <c r="N57" s="19">
        <f t="shared" si="3"/>
        <v>10300</v>
      </c>
      <c r="O57" s="19">
        <f t="shared" si="4"/>
        <v>3457</v>
      </c>
      <c r="P57" s="19">
        <f t="shared" si="5"/>
        <v>2664</v>
      </c>
      <c r="Q57" s="19">
        <f t="shared" si="6"/>
        <v>16421</v>
      </c>
      <c r="R57" s="19">
        <f t="shared" si="7"/>
        <v>48478</v>
      </c>
      <c r="S57" s="19">
        <f t="shared" si="8"/>
        <v>3698</v>
      </c>
      <c r="T57" s="19">
        <f t="shared" si="9"/>
        <v>52176</v>
      </c>
      <c r="U57" s="61">
        <f t="shared" si="10"/>
        <v>68597</v>
      </c>
      <c r="V57" s="19">
        <v>70522</v>
      </c>
      <c r="W57" s="19">
        <f t="shared" si="11"/>
        <v>-1925</v>
      </c>
    </row>
    <row r="58" spans="1:23" x14ac:dyDescent="0.25">
      <c r="A58" s="28" t="s">
        <v>24</v>
      </c>
      <c r="B58" s="29" t="s">
        <v>243</v>
      </c>
      <c r="C58" s="19">
        <v>7422</v>
      </c>
      <c r="D58" s="19">
        <f>Tasandusfond!F58</f>
        <v>6916425</v>
      </c>
      <c r="E58" s="19">
        <v>511890.04000000301</v>
      </c>
      <c r="F58" s="19">
        <v>745319</v>
      </c>
      <c r="G58" s="19">
        <f t="shared" si="0"/>
        <v>8173634.0400000028</v>
      </c>
      <c r="H58" s="19">
        <f t="shared" si="1"/>
        <v>1101.2710913500407</v>
      </c>
      <c r="I58" s="59">
        <f t="shared" si="2"/>
        <v>0.87247675818023207</v>
      </c>
      <c r="J58" s="18">
        <v>3.84</v>
      </c>
      <c r="K58" s="19">
        <v>90</v>
      </c>
      <c r="L58" s="18">
        <v>1017</v>
      </c>
      <c r="M58" s="19">
        <v>43</v>
      </c>
      <c r="N58" s="19">
        <f t="shared" si="3"/>
        <v>30434</v>
      </c>
      <c r="O58" s="19">
        <f t="shared" si="4"/>
        <v>2983</v>
      </c>
      <c r="P58" s="19">
        <f t="shared" si="5"/>
        <v>2763</v>
      </c>
      <c r="Q58" s="19">
        <f t="shared" si="6"/>
        <v>36180</v>
      </c>
      <c r="R58" s="19">
        <f t="shared" si="7"/>
        <v>70760</v>
      </c>
      <c r="S58" s="19">
        <f t="shared" si="8"/>
        <v>6488</v>
      </c>
      <c r="T58" s="19">
        <f t="shared" si="9"/>
        <v>77248</v>
      </c>
      <c r="U58" s="61">
        <f t="shared" si="10"/>
        <v>113428</v>
      </c>
      <c r="V58" s="19">
        <v>133144</v>
      </c>
      <c r="W58" s="19">
        <f t="shared" si="11"/>
        <v>-19716</v>
      </c>
    </row>
    <row r="59" spans="1:23" x14ac:dyDescent="0.25">
      <c r="A59" s="28" t="s">
        <v>24</v>
      </c>
      <c r="B59" s="29" t="s">
        <v>239</v>
      </c>
      <c r="C59" s="19">
        <v>13088</v>
      </c>
      <c r="D59" s="19">
        <f>Tasandusfond!F59</f>
        <v>13920661</v>
      </c>
      <c r="E59" s="19">
        <v>482411.01000000397</v>
      </c>
      <c r="F59" s="19">
        <v>942418.63437443553</v>
      </c>
      <c r="G59" s="19">
        <f t="shared" si="0"/>
        <v>15345490.644374439</v>
      </c>
      <c r="H59" s="19">
        <f t="shared" si="1"/>
        <v>1172.4855321190739</v>
      </c>
      <c r="I59" s="59">
        <f t="shared" si="2"/>
        <v>0.92889605848313561</v>
      </c>
      <c r="J59" s="18">
        <v>3.01</v>
      </c>
      <c r="K59" s="19">
        <v>128</v>
      </c>
      <c r="L59" s="18">
        <v>1985</v>
      </c>
      <c r="M59" s="19">
        <v>93</v>
      </c>
      <c r="N59" s="19">
        <f t="shared" si="3"/>
        <v>40655</v>
      </c>
      <c r="O59" s="19">
        <f t="shared" si="4"/>
        <v>5469</v>
      </c>
      <c r="P59" s="19">
        <f t="shared" si="5"/>
        <v>5612</v>
      </c>
      <c r="Q59" s="19">
        <f t="shared" si="6"/>
        <v>51736</v>
      </c>
      <c r="R59" s="19">
        <f t="shared" si="7"/>
        <v>101683</v>
      </c>
      <c r="S59" s="19">
        <f t="shared" si="8"/>
        <v>10331</v>
      </c>
      <c r="T59" s="19">
        <f t="shared" si="9"/>
        <v>112014</v>
      </c>
      <c r="U59" s="61">
        <f t="shared" si="10"/>
        <v>163750</v>
      </c>
      <c r="V59" s="19">
        <v>207273</v>
      </c>
      <c r="W59" s="19">
        <f t="shared" si="11"/>
        <v>-43523</v>
      </c>
    </row>
    <row r="60" spans="1:23" x14ac:dyDescent="0.25">
      <c r="A60" s="28" t="s">
        <v>20</v>
      </c>
      <c r="B60" s="29" t="s">
        <v>225</v>
      </c>
      <c r="C60" s="19">
        <v>1998</v>
      </c>
      <c r="D60" s="19">
        <f>Tasandusfond!F60</f>
        <v>2319070</v>
      </c>
      <c r="E60" s="19">
        <v>85108.38999999981</v>
      </c>
      <c r="F60" s="19">
        <v>0</v>
      </c>
      <c r="G60" s="19">
        <f t="shared" si="0"/>
        <v>2404178.3899999997</v>
      </c>
      <c r="H60" s="19">
        <f t="shared" si="1"/>
        <v>1203.2924874874873</v>
      </c>
      <c r="I60" s="59">
        <f t="shared" si="2"/>
        <v>0.95330272162026231</v>
      </c>
      <c r="J60" s="18">
        <v>4.97</v>
      </c>
      <c r="K60" s="19">
        <v>1</v>
      </c>
      <c r="L60" s="18">
        <v>185</v>
      </c>
      <c r="M60" s="19">
        <v>11</v>
      </c>
      <c r="N60" s="19">
        <f t="shared" si="3"/>
        <v>309</v>
      </c>
      <c r="O60" s="19">
        <f t="shared" si="4"/>
        <v>497</v>
      </c>
      <c r="P60" s="19">
        <f t="shared" si="5"/>
        <v>647</v>
      </c>
      <c r="Q60" s="19">
        <f t="shared" si="6"/>
        <v>1453</v>
      </c>
      <c r="R60" s="19">
        <f t="shared" si="7"/>
        <v>15247</v>
      </c>
      <c r="S60" s="19">
        <f t="shared" si="8"/>
        <v>1966</v>
      </c>
      <c r="T60" s="19">
        <f t="shared" si="9"/>
        <v>17213</v>
      </c>
      <c r="U60" s="61">
        <f t="shared" si="10"/>
        <v>18666</v>
      </c>
      <c r="V60" s="19">
        <v>18912</v>
      </c>
      <c r="W60" s="19">
        <f t="shared" si="11"/>
        <v>-246</v>
      </c>
    </row>
    <row r="61" spans="1:23" x14ac:dyDescent="0.25">
      <c r="A61" s="32" t="s">
        <v>20</v>
      </c>
      <c r="B61" s="29" t="s">
        <v>215</v>
      </c>
      <c r="C61" s="19">
        <v>179</v>
      </c>
      <c r="D61" s="19">
        <f>Tasandusfond!F61</f>
        <v>205171</v>
      </c>
      <c r="E61" s="19">
        <v>2421.94</v>
      </c>
      <c r="F61" s="19">
        <v>0</v>
      </c>
      <c r="G61" s="19">
        <f t="shared" si="0"/>
        <v>207592.94</v>
      </c>
      <c r="H61" s="19">
        <f t="shared" si="1"/>
        <v>1159.7370949720671</v>
      </c>
      <c r="I61" s="59">
        <f t="shared" si="2"/>
        <v>0.91879617008939807</v>
      </c>
      <c r="J61" s="18">
        <v>5</v>
      </c>
      <c r="K61" s="19">
        <v>0</v>
      </c>
      <c r="L61" s="18">
        <v>14</v>
      </c>
      <c r="M61" s="19">
        <v>0</v>
      </c>
      <c r="N61" s="19">
        <f t="shared" si="3"/>
        <v>0</v>
      </c>
      <c r="O61" s="19">
        <f t="shared" si="4"/>
        <v>39</v>
      </c>
      <c r="P61" s="19">
        <f t="shared" si="5"/>
        <v>0</v>
      </c>
      <c r="Q61" s="19">
        <f t="shared" si="6"/>
        <v>39</v>
      </c>
      <c r="R61" s="19">
        <f t="shared" si="7"/>
        <v>1204</v>
      </c>
      <c r="S61" s="19">
        <f t="shared" si="8"/>
        <v>0</v>
      </c>
      <c r="T61" s="19">
        <f t="shared" si="9"/>
        <v>1204</v>
      </c>
      <c r="U61" s="61">
        <f t="shared" si="10"/>
        <v>1243</v>
      </c>
      <c r="V61" s="19">
        <v>3401</v>
      </c>
      <c r="W61" s="19">
        <f t="shared" si="11"/>
        <v>-2158</v>
      </c>
    </row>
    <row r="62" spans="1:23" x14ac:dyDescent="0.25">
      <c r="A62" s="32" t="s">
        <v>20</v>
      </c>
      <c r="B62" s="29" t="s">
        <v>597</v>
      </c>
      <c r="C62" s="19">
        <v>31436</v>
      </c>
      <c r="D62" s="19">
        <f>Tasandusfond!F62</f>
        <v>30893995</v>
      </c>
      <c r="E62" s="19">
        <v>1282427.890000005</v>
      </c>
      <c r="F62" s="19">
        <v>2195312.270464628</v>
      </c>
      <c r="G62" s="19">
        <f t="shared" si="0"/>
        <v>34371735.16046463</v>
      </c>
      <c r="H62" s="19">
        <f t="shared" si="1"/>
        <v>1093.3876816536656</v>
      </c>
      <c r="I62" s="59">
        <f t="shared" si="2"/>
        <v>0.86623116453001814</v>
      </c>
      <c r="J62" s="18">
        <v>2.86</v>
      </c>
      <c r="K62" s="19">
        <v>250</v>
      </c>
      <c r="L62" s="18">
        <v>4265</v>
      </c>
      <c r="M62" s="19">
        <v>219</v>
      </c>
      <c r="N62" s="19">
        <f t="shared" si="3"/>
        <v>85149</v>
      </c>
      <c r="O62" s="19">
        <f t="shared" si="4"/>
        <v>12600</v>
      </c>
      <c r="P62" s="19">
        <f t="shared" si="5"/>
        <v>14172</v>
      </c>
      <c r="Q62" s="19">
        <f t="shared" si="6"/>
        <v>111921</v>
      </c>
      <c r="R62" s="19">
        <f t="shared" si="7"/>
        <v>222608</v>
      </c>
      <c r="S62" s="19">
        <f t="shared" si="8"/>
        <v>24787</v>
      </c>
      <c r="T62" s="19">
        <f t="shared" si="9"/>
        <v>247395</v>
      </c>
      <c r="U62" s="61">
        <f t="shared" si="10"/>
        <v>359316</v>
      </c>
      <c r="V62" s="19">
        <v>316149</v>
      </c>
      <c r="W62" s="19">
        <f t="shared" si="11"/>
        <v>43167</v>
      </c>
    </row>
    <row r="63" spans="1:23" x14ac:dyDescent="0.25">
      <c r="A63" s="28" t="s">
        <v>13</v>
      </c>
      <c r="B63" s="29" t="s">
        <v>598</v>
      </c>
      <c r="C63" s="19">
        <v>14581</v>
      </c>
      <c r="D63" s="19">
        <f>Tasandusfond!F63</f>
        <v>14275904</v>
      </c>
      <c r="E63" s="19">
        <v>380942.60000000196</v>
      </c>
      <c r="F63" s="19">
        <v>2988554.4629712407</v>
      </c>
      <c r="G63" s="19">
        <f t="shared" si="0"/>
        <v>17645401.062971242</v>
      </c>
      <c r="H63" s="19">
        <f t="shared" si="1"/>
        <v>1210.163984841317</v>
      </c>
      <c r="I63" s="59">
        <f t="shared" si="2"/>
        <v>0.95874663255391257</v>
      </c>
      <c r="J63" s="18">
        <v>3</v>
      </c>
      <c r="K63" s="19">
        <v>117</v>
      </c>
      <c r="L63" s="18">
        <v>2250</v>
      </c>
      <c r="M63" s="19">
        <v>157</v>
      </c>
      <c r="N63" s="19">
        <f t="shared" si="3"/>
        <v>36005</v>
      </c>
      <c r="O63" s="19">
        <f t="shared" si="4"/>
        <v>6006</v>
      </c>
      <c r="P63" s="19">
        <f t="shared" si="5"/>
        <v>9179</v>
      </c>
      <c r="Q63" s="19">
        <f t="shared" si="6"/>
        <v>51190</v>
      </c>
      <c r="R63" s="19">
        <f t="shared" si="7"/>
        <v>111299</v>
      </c>
      <c r="S63" s="19">
        <f t="shared" si="8"/>
        <v>16841</v>
      </c>
      <c r="T63" s="19">
        <f t="shared" si="9"/>
        <v>128140</v>
      </c>
      <c r="U63" s="61">
        <f t="shared" si="10"/>
        <v>179330</v>
      </c>
      <c r="V63" s="19">
        <v>202433</v>
      </c>
      <c r="W63" s="19">
        <f t="shared" si="11"/>
        <v>-23103</v>
      </c>
    </row>
    <row r="64" spans="1:23" x14ac:dyDescent="0.25">
      <c r="A64" s="28" t="s">
        <v>13</v>
      </c>
      <c r="B64" s="29" t="s">
        <v>198</v>
      </c>
      <c r="C64" s="19">
        <v>12822</v>
      </c>
      <c r="D64" s="19">
        <f>Tasandusfond!F64</f>
        <v>17312505</v>
      </c>
      <c r="E64" s="19">
        <v>269398.16000000079</v>
      </c>
      <c r="F64" s="19">
        <v>1713193</v>
      </c>
      <c r="G64" s="19">
        <f t="shared" si="0"/>
        <v>19295096.16</v>
      </c>
      <c r="H64" s="19">
        <f t="shared" si="1"/>
        <v>1504.8429386991108</v>
      </c>
      <c r="I64" s="59">
        <f t="shared" si="2"/>
        <v>1.1922046252182006</v>
      </c>
      <c r="J64" s="18">
        <v>2.37</v>
      </c>
      <c r="K64" s="19">
        <v>88</v>
      </c>
      <c r="L64" s="18">
        <v>2415</v>
      </c>
      <c r="M64" s="19">
        <v>80</v>
      </c>
      <c r="N64" s="19">
        <f t="shared" si="3"/>
        <v>21777</v>
      </c>
      <c r="O64" s="19">
        <f t="shared" si="4"/>
        <v>5184</v>
      </c>
      <c r="P64" s="19">
        <f t="shared" si="5"/>
        <v>3761</v>
      </c>
      <c r="Q64" s="19">
        <f t="shared" si="6"/>
        <v>30722</v>
      </c>
      <c r="R64" s="19">
        <f t="shared" si="7"/>
        <v>75894</v>
      </c>
      <c r="S64" s="19">
        <f t="shared" si="8"/>
        <v>5452</v>
      </c>
      <c r="T64" s="19">
        <f t="shared" si="9"/>
        <v>81346</v>
      </c>
      <c r="U64" s="61">
        <f t="shared" si="10"/>
        <v>112068</v>
      </c>
      <c r="V64" s="19">
        <v>105322</v>
      </c>
      <c r="W64" s="19">
        <f t="shared" si="11"/>
        <v>6746</v>
      </c>
    </row>
    <row r="65" spans="1:23" x14ac:dyDescent="0.25">
      <c r="A65" s="28" t="s">
        <v>13</v>
      </c>
      <c r="B65" s="29" t="s">
        <v>599</v>
      </c>
      <c r="C65" s="19">
        <v>5776</v>
      </c>
      <c r="D65" s="19">
        <f>Tasandusfond!F65</f>
        <v>6452030</v>
      </c>
      <c r="E65" s="19">
        <v>197843.9099999998</v>
      </c>
      <c r="F65" s="19">
        <v>1488381</v>
      </c>
      <c r="G65" s="19">
        <f t="shared" si="0"/>
        <v>8138254.9100000001</v>
      </c>
      <c r="H65" s="19">
        <f t="shared" si="1"/>
        <v>1408.9776506232688</v>
      </c>
      <c r="I65" s="59">
        <f t="shared" si="2"/>
        <v>1.1162558089645289</v>
      </c>
      <c r="J65" s="18">
        <v>4.7</v>
      </c>
      <c r="K65" s="19">
        <v>32</v>
      </c>
      <c r="L65" s="18">
        <v>874</v>
      </c>
      <c r="M65" s="19">
        <v>68</v>
      </c>
      <c r="N65" s="19">
        <f t="shared" si="3"/>
        <v>8458</v>
      </c>
      <c r="O65" s="19">
        <f t="shared" si="4"/>
        <v>2004</v>
      </c>
      <c r="P65" s="19">
        <f t="shared" si="5"/>
        <v>3415</v>
      </c>
      <c r="Q65" s="19">
        <f t="shared" si="6"/>
        <v>13877</v>
      </c>
      <c r="R65" s="19">
        <f t="shared" si="7"/>
        <v>58175</v>
      </c>
      <c r="S65" s="19">
        <f t="shared" si="8"/>
        <v>9815</v>
      </c>
      <c r="T65" s="19">
        <f t="shared" si="9"/>
        <v>67990</v>
      </c>
      <c r="U65" s="61">
        <f t="shared" si="10"/>
        <v>81867</v>
      </c>
      <c r="V65" s="19">
        <v>81219</v>
      </c>
      <c r="W65" s="19">
        <f t="shared" si="11"/>
        <v>648</v>
      </c>
    </row>
    <row r="66" spans="1:23" x14ac:dyDescent="0.25">
      <c r="A66" s="28" t="s">
        <v>13</v>
      </c>
      <c r="B66" s="29" t="s">
        <v>192</v>
      </c>
      <c r="C66" s="19">
        <v>5411</v>
      </c>
      <c r="D66" s="19">
        <f>Tasandusfond!F66</f>
        <v>7002357</v>
      </c>
      <c r="E66" s="19">
        <v>67748.6899999999</v>
      </c>
      <c r="F66" s="19">
        <v>780502</v>
      </c>
      <c r="G66" s="19">
        <f t="shared" si="0"/>
        <v>7850607.6899999995</v>
      </c>
      <c r="H66" s="19">
        <f t="shared" si="1"/>
        <v>1450.8607817408981</v>
      </c>
      <c r="I66" s="59">
        <f t="shared" si="2"/>
        <v>1.1494375193961994</v>
      </c>
      <c r="J66" s="18">
        <v>3.71</v>
      </c>
      <c r="K66" s="19">
        <v>14</v>
      </c>
      <c r="L66" s="18">
        <v>983</v>
      </c>
      <c r="M66" s="19">
        <v>48</v>
      </c>
      <c r="N66" s="19">
        <f t="shared" si="3"/>
        <v>3594</v>
      </c>
      <c r="O66" s="19">
        <f t="shared" si="4"/>
        <v>2189</v>
      </c>
      <c r="P66" s="19">
        <f t="shared" si="5"/>
        <v>2341</v>
      </c>
      <c r="Q66" s="19">
        <f t="shared" si="6"/>
        <v>8124</v>
      </c>
      <c r="R66" s="19">
        <f t="shared" si="7"/>
        <v>50157</v>
      </c>
      <c r="S66" s="19">
        <f t="shared" si="8"/>
        <v>5311</v>
      </c>
      <c r="T66" s="19">
        <f t="shared" si="9"/>
        <v>55468</v>
      </c>
      <c r="U66" s="61">
        <f t="shared" si="10"/>
        <v>63592</v>
      </c>
      <c r="V66" s="19">
        <v>59074</v>
      </c>
      <c r="W66" s="19">
        <f t="shared" si="11"/>
        <v>4518</v>
      </c>
    </row>
    <row r="67" spans="1:23" x14ac:dyDescent="0.25">
      <c r="A67" s="28" t="s">
        <v>13</v>
      </c>
      <c r="B67" s="29" t="s">
        <v>186</v>
      </c>
      <c r="C67" s="19">
        <v>4381</v>
      </c>
      <c r="D67" s="19">
        <f>Tasandusfond!F67</f>
        <v>4890523</v>
      </c>
      <c r="E67" s="19">
        <v>122558.2099999999</v>
      </c>
      <c r="F67" s="19">
        <v>633089</v>
      </c>
      <c r="G67" s="19">
        <f t="shared" si="0"/>
        <v>5646170.21</v>
      </c>
      <c r="H67" s="19">
        <f t="shared" si="1"/>
        <v>1288.785713307464</v>
      </c>
      <c r="I67" s="59">
        <f t="shared" si="2"/>
        <v>1.0210343211289206</v>
      </c>
      <c r="J67" s="18">
        <v>3.82</v>
      </c>
      <c r="K67" s="19">
        <v>12</v>
      </c>
      <c r="L67" s="18">
        <v>745</v>
      </c>
      <c r="M67" s="19">
        <v>44</v>
      </c>
      <c r="N67" s="19">
        <f t="shared" si="3"/>
        <v>3468</v>
      </c>
      <c r="O67" s="19">
        <f t="shared" si="4"/>
        <v>1867</v>
      </c>
      <c r="P67" s="19">
        <f t="shared" si="5"/>
        <v>2416</v>
      </c>
      <c r="Q67" s="19">
        <f t="shared" si="6"/>
        <v>7751</v>
      </c>
      <c r="R67" s="19">
        <f t="shared" si="7"/>
        <v>44063</v>
      </c>
      <c r="S67" s="19">
        <f t="shared" si="8"/>
        <v>5643</v>
      </c>
      <c r="T67" s="19">
        <f t="shared" si="9"/>
        <v>49706</v>
      </c>
      <c r="U67" s="61">
        <f t="shared" si="10"/>
        <v>57457</v>
      </c>
      <c r="V67" s="19">
        <v>59321</v>
      </c>
      <c r="W67" s="19">
        <f t="shared" si="11"/>
        <v>-1864</v>
      </c>
    </row>
    <row r="68" spans="1:23" x14ac:dyDescent="0.25">
      <c r="A68" s="28" t="s">
        <v>13</v>
      </c>
      <c r="B68" s="29" t="s">
        <v>184</v>
      </c>
      <c r="C68" s="19">
        <v>5413</v>
      </c>
      <c r="D68" s="19">
        <f>Tasandusfond!F68</f>
        <v>4417012</v>
      </c>
      <c r="E68" s="19">
        <v>317741.8700000011</v>
      </c>
      <c r="F68" s="19">
        <v>1133866</v>
      </c>
      <c r="G68" s="19">
        <f t="shared" si="0"/>
        <v>5868619.870000001</v>
      </c>
      <c r="H68" s="19">
        <f t="shared" si="1"/>
        <v>1084.1714151117681</v>
      </c>
      <c r="I68" s="59">
        <f t="shared" si="2"/>
        <v>0.85892962141483264</v>
      </c>
      <c r="J68" s="18">
        <v>4.95</v>
      </c>
      <c r="K68" s="19">
        <v>23</v>
      </c>
      <c r="L68" s="18">
        <v>626</v>
      </c>
      <c r="M68" s="19">
        <v>44</v>
      </c>
      <c r="N68" s="19">
        <f t="shared" si="3"/>
        <v>7900</v>
      </c>
      <c r="O68" s="19">
        <f t="shared" si="4"/>
        <v>1865</v>
      </c>
      <c r="P68" s="19">
        <f t="shared" si="5"/>
        <v>2871</v>
      </c>
      <c r="Q68" s="19">
        <f t="shared" si="6"/>
        <v>12636</v>
      </c>
      <c r="R68" s="19">
        <f t="shared" si="7"/>
        <v>57031</v>
      </c>
      <c r="S68" s="19">
        <f t="shared" si="8"/>
        <v>8692</v>
      </c>
      <c r="T68" s="19">
        <f t="shared" si="9"/>
        <v>65723</v>
      </c>
      <c r="U68" s="61">
        <f t="shared" si="10"/>
        <v>78359</v>
      </c>
      <c r="V68" s="19">
        <v>87639</v>
      </c>
      <c r="W68" s="19">
        <f t="shared" si="11"/>
        <v>-9280</v>
      </c>
    </row>
    <row r="69" spans="1:23" x14ac:dyDescent="0.25">
      <c r="A69" s="28" t="s">
        <v>13</v>
      </c>
      <c r="B69" s="29" t="s">
        <v>174</v>
      </c>
      <c r="C69" s="19">
        <v>12075</v>
      </c>
      <c r="D69" s="19">
        <f>Tasandusfond!F69</f>
        <v>14746492</v>
      </c>
      <c r="E69" s="19">
        <v>345977.390000001</v>
      </c>
      <c r="F69" s="19">
        <v>2510393</v>
      </c>
      <c r="G69" s="19">
        <f t="shared" ref="G69:G82" si="12">SUM(D69:F69)</f>
        <v>17602862.390000001</v>
      </c>
      <c r="H69" s="19">
        <f t="shared" ref="H69:H83" si="13">G69/C69</f>
        <v>1457.7939867494824</v>
      </c>
      <c r="I69" s="59">
        <f t="shared" ref="I69:I83" si="14">H69/H$83</f>
        <v>1.1549303179243737</v>
      </c>
      <c r="J69" s="18">
        <v>3.36</v>
      </c>
      <c r="K69" s="19">
        <v>92</v>
      </c>
      <c r="L69" s="18">
        <v>2040</v>
      </c>
      <c r="M69" s="19">
        <v>84</v>
      </c>
      <c r="N69" s="19">
        <f t="shared" ref="N69:N82" si="15">ROUND($K69*N$86/$I69,0)</f>
        <v>23502</v>
      </c>
      <c r="O69" s="19">
        <f t="shared" ref="O69:O82" si="16">ROUND($L69*O$86/$I69,0)</f>
        <v>4520</v>
      </c>
      <c r="P69" s="19">
        <f t="shared" ref="P69:P82" si="17">ROUND($M69*P$86/$I69,0)</f>
        <v>4077</v>
      </c>
      <c r="Q69" s="19">
        <f t="shared" ref="Q69:Q82" si="18">SUM(N69:P69)</f>
        <v>32099</v>
      </c>
      <c r="R69" s="19">
        <f t="shared" ref="R69:R82" si="19">ROUND($L69*R$86/$I69*$J69,0)</f>
        <v>93822</v>
      </c>
      <c r="S69" s="19">
        <f t="shared" ref="S69:S82" si="20">ROUND($M69*S$86/$I69*$J69,0)</f>
        <v>8377</v>
      </c>
      <c r="T69" s="19">
        <f t="shared" ref="T69:T82" si="21">SUM(R69:S69)</f>
        <v>102199</v>
      </c>
      <c r="U69" s="61">
        <f t="shared" ref="U69:U82" si="22">Q69+T69</f>
        <v>134298</v>
      </c>
      <c r="V69" s="19">
        <v>146452</v>
      </c>
      <c r="W69" s="19">
        <f t="shared" ref="W69:W82" si="23">U69-V69</f>
        <v>-12154</v>
      </c>
    </row>
    <row r="70" spans="1:23" x14ac:dyDescent="0.25">
      <c r="A70" s="28" t="s">
        <v>13</v>
      </c>
      <c r="B70" s="29" t="s">
        <v>15</v>
      </c>
      <c r="C70" s="19">
        <v>94831</v>
      </c>
      <c r="D70" s="19">
        <f>Tasandusfond!F70</f>
        <v>111976933</v>
      </c>
      <c r="E70" s="19">
        <v>1977423.0399998799</v>
      </c>
      <c r="F70" s="19">
        <v>2468607.8091989662</v>
      </c>
      <c r="G70" s="19">
        <f t="shared" si="12"/>
        <v>116422963.84919883</v>
      </c>
      <c r="H70" s="19">
        <f t="shared" si="13"/>
        <v>1227.6888765192693</v>
      </c>
      <c r="I70" s="59">
        <f t="shared" si="14"/>
        <v>0.97263064421892009</v>
      </c>
      <c r="J70" s="18">
        <v>0.21</v>
      </c>
      <c r="K70" s="19">
        <v>835</v>
      </c>
      <c r="L70" s="18">
        <v>15353</v>
      </c>
      <c r="M70" s="19">
        <v>879</v>
      </c>
      <c r="N70" s="19">
        <f t="shared" si="15"/>
        <v>253288</v>
      </c>
      <c r="O70" s="19">
        <f t="shared" si="16"/>
        <v>40395</v>
      </c>
      <c r="P70" s="19">
        <f t="shared" si="17"/>
        <v>50658</v>
      </c>
      <c r="Q70" s="19">
        <f t="shared" si="18"/>
        <v>344341</v>
      </c>
      <c r="R70" s="19">
        <f t="shared" si="19"/>
        <v>52403</v>
      </c>
      <c r="S70" s="19">
        <f t="shared" si="20"/>
        <v>6506</v>
      </c>
      <c r="T70" s="19">
        <f t="shared" si="21"/>
        <v>58909</v>
      </c>
      <c r="U70" s="61">
        <f t="shared" si="22"/>
        <v>403250</v>
      </c>
      <c r="V70" s="19">
        <v>453077</v>
      </c>
      <c r="W70" s="19">
        <f t="shared" si="23"/>
        <v>-49827</v>
      </c>
    </row>
    <row r="71" spans="1:23" x14ac:dyDescent="0.25">
      <c r="A71" s="28" t="s">
        <v>10</v>
      </c>
      <c r="B71" s="29" t="s">
        <v>154</v>
      </c>
      <c r="C71" s="19">
        <v>6506</v>
      </c>
      <c r="D71" s="19">
        <f>Tasandusfond!F71</f>
        <v>6387234</v>
      </c>
      <c r="E71" s="19">
        <v>207660.94999999972</v>
      </c>
      <c r="F71" s="19">
        <v>1044582</v>
      </c>
      <c r="G71" s="19">
        <f t="shared" si="12"/>
        <v>7639476.9499999993</v>
      </c>
      <c r="H71" s="19">
        <f t="shared" si="13"/>
        <v>1174.2202505379648</v>
      </c>
      <c r="I71" s="59">
        <f t="shared" si="14"/>
        <v>0.93027038085875891</v>
      </c>
      <c r="J71" s="18">
        <v>4.1500000000000004</v>
      </c>
      <c r="K71" s="19">
        <v>174</v>
      </c>
      <c r="L71" s="18">
        <v>874</v>
      </c>
      <c r="M71" s="19">
        <v>50</v>
      </c>
      <c r="N71" s="19">
        <f t="shared" si="15"/>
        <v>55184</v>
      </c>
      <c r="O71" s="19">
        <f t="shared" si="16"/>
        <v>2404</v>
      </c>
      <c r="P71" s="19">
        <f t="shared" si="17"/>
        <v>3013</v>
      </c>
      <c r="Q71" s="19">
        <f t="shared" si="18"/>
        <v>60601</v>
      </c>
      <c r="R71" s="19">
        <f t="shared" si="19"/>
        <v>61637</v>
      </c>
      <c r="S71" s="19">
        <f t="shared" si="20"/>
        <v>7646</v>
      </c>
      <c r="T71" s="19">
        <f t="shared" si="21"/>
        <v>69283</v>
      </c>
      <c r="U71" s="61">
        <f t="shared" si="22"/>
        <v>129884</v>
      </c>
      <c r="V71" s="19">
        <v>112424</v>
      </c>
      <c r="W71" s="19">
        <f t="shared" si="23"/>
        <v>17460</v>
      </c>
    </row>
    <row r="72" spans="1:23" x14ac:dyDescent="0.25">
      <c r="A72" s="28" t="s">
        <v>10</v>
      </c>
      <c r="B72" s="29" t="s">
        <v>600</v>
      </c>
      <c r="C72" s="19">
        <v>5990</v>
      </c>
      <c r="D72" s="19">
        <f>Tasandusfond!F72</f>
        <v>5199615</v>
      </c>
      <c r="E72" s="19">
        <v>307482.98999999987</v>
      </c>
      <c r="F72" s="19">
        <v>986425</v>
      </c>
      <c r="G72" s="19">
        <f t="shared" si="12"/>
        <v>6493522.9900000002</v>
      </c>
      <c r="H72" s="19">
        <f t="shared" si="13"/>
        <v>1084.0605993322204</v>
      </c>
      <c r="I72" s="59">
        <f t="shared" si="14"/>
        <v>0.85884182814317189</v>
      </c>
      <c r="J72" s="18">
        <v>3.23</v>
      </c>
      <c r="K72" s="19">
        <v>136</v>
      </c>
      <c r="L72" s="18">
        <v>796</v>
      </c>
      <c r="M72" s="19">
        <v>52</v>
      </c>
      <c r="N72" s="19">
        <f t="shared" si="15"/>
        <v>46720</v>
      </c>
      <c r="O72" s="19">
        <f t="shared" si="16"/>
        <v>2372</v>
      </c>
      <c r="P72" s="19">
        <f t="shared" si="17"/>
        <v>3394</v>
      </c>
      <c r="Q72" s="19">
        <f t="shared" si="18"/>
        <v>52486</v>
      </c>
      <c r="R72" s="19">
        <f t="shared" si="19"/>
        <v>47325</v>
      </c>
      <c r="S72" s="19">
        <f t="shared" si="20"/>
        <v>6704</v>
      </c>
      <c r="T72" s="19">
        <f t="shared" si="21"/>
        <v>54029</v>
      </c>
      <c r="U72" s="61">
        <f t="shared" si="22"/>
        <v>106515</v>
      </c>
      <c r="V72" s="19">
        <v>90243</v>
      </c>
      <c r="W72" s="19">
        <f t="shared" si="23"/>
        <v>16272</v>
      </c>
    </row>
    <row r="73" spans="1:23" x14ac:dyDescent="0.25">
      <c r="A73" s="28" t="s">
        <v>10</v>
      </c>
      <c r="B73" s="29" t="s">
        <v>601</v>
      </c>
      <c r="C73" s="19">
        <v>15291</v>
      </c>
      <c r="D73" s="19">
        <f>Tasandusfond!F73</f>
        <v>10761584</v>
      </c>
      <c r="E73" s="19">
        <v>392209.39000000199</v>
      </c>
      <c r="F73" s="19">
        <v>3874250</v>
      </c>
      <c r="G73" s="19">
        <f t="shared" si="12"/>
        <v>15028043.390000002</v>
      </c>
      <c r="H73" s="19">
        <f t="shared" si="13"/>
        <v>982.80317768622081</v>
      </c>
      <c r="I73" s="59">
        <f t="shared" si="14"/>
        <v>0.77862111984228544</v>
      </c>
      <c r="J73" s="18">
        <v>1.03</v>
      </c>
      <c r="K73" s="19">
        <v>342</v>
      </c>
      <c r="L73" s="18">
        <v>2184</v>
      </c>
      <c r="M73" s="19">
        <v>168</v>
      </c>
      <c r="N73" s="19">
        <f t="shared" si="15"/>
        <v>129591</v>
      </c>
      <c r="O73" s="19">
        <f t="shared" si="16"/>
        <v>7178</v>
      </c>
      <c r="P73" s="19">
        <f t="shared" si="17"/>
        <v>12095</v>
      </c>
      <c r="Q73" s="19">
        <f t="shared" si="18"/>
        <v>148864</v>
      </c>
      <c r="R73" s="19">
        <f t="shared" si="19"/>
        <v>45672</v>
      </c>
      <c r="S73" s="19">
        <f t="shared" si="20"/>
        <v>7618</v>
      </c>
      <c r="T73" s="19">
        <f t="shared" si="21"/>
        <v>53290</v>
      </c>
      <c r="U73" s="61">
        <f t="shared" si="22"/>
        <v>202154</v>
      </c>
      <c r="V73" s="19">
        <v>311138</v>
      </c>
      <c r="W73" s="19">
        <f t="shared" si="23"/>
        <v>-108984</v>
      </c>
    </row>
    <row r="74" spans="1:23" x14ac:dyDescent="0.25">
      <c r="A74" s="28" t="s">
        <v>6</v>
      </c>
      <c r="B74" s="29" t="s">
        <v>602</v>
      </c>
      <c r="C74" s="19">
        <v>7336</v>
      </c>
      <c r="D74" s="19">
        <f>Tasandusfond!F74</f>
        <v>5900249</v>
      </c>
      <c r="E74" s="19">
        <v>445341.63999999897</v>
      </c>
      <c r="F74" s="19">
        <v>1674194</v>
      </c>
      <c r="G74" s="19">
        <f t="shared" si="12"/>
        <v>8019784.6399999987</v>
      </c>
      <c r="H74" s="19">
        <f t="shared" si="13"/>
        <v>1093.2094656488548</v>
      </c>
      <c r="I74" s="59">
        <f t="shared" si="14"/>
        <v>0.86608997375205765</v>
      </c>
      <c r="J74" s="18">
        <v>4.6399999999999997</v>
      </c>
      <c r="K74" s="19">
        <v>65</v>
      </c>
      <c r="L74" s="18">
        <v>893</v>
      </c>
      <c r="M74" s="19">
        <v>78</v>
      </c>
      <c r="N74" s="19">
        <f t="shared" si="15"/>
        <v>22142</v>
      </c>
      <c r="O74" s="19">
        <f t="shared" si="16"/>
        <v>2639</v>
      </c>
      <c r="P74" s="19">
        <f t="shared" si="17"/>
        <v>5048</v>
      </c>
      <c r="Q74" s="19">
        <f t="shared" si="18"/>
        <v>29829</v>
      </c>
      <c r="R74" s="19">
        <f t="shared" si="19"/>
        <v>75630</v>
      </c>
      <c r="S74" s="19">
        <f t="shared" si="20"/>
        <v>14325</v>
      </c>
      <c r="T74" s="19">
        <f t="shared" si="21"/>
        <v>89955</v>
      </c>
      <c r="U74" s="61">
        <f t="shared" si="22"/>
        <v>119784</v>
      </c>
      <c r="V74" s="19">
        <v>162951</v>
      </c>
      <c r="W74" s="19">
        <f t="shared" si="23"/>
        <v>-43167</v>
      </c>
    </row>
    <row r="75" spans="1:23" x14ac:dyDescent="0.25">
      <c r="A75" s="28" t="s">
        <v>6</v>
      </c>
      <c r="B75" s="29" t="s">
        <v>603</v>
      </c>
      <c r="C75" s="19">
        <v>7917</v>
      </c>
      <c r="D75" s="19">
        <f>Tasandusfond!F75</f>
        <v>7056606</v>
      </c>
      <c r="E75" s="19">
        <v>420302.24000000203</v>
      </c>
      <c r="F75" s="19">
        <v>1646597</v>
      </c>
      <c r="G75" s="19">
        <f t="shared" si="12"/>
        <v>9123505.2400000021</v>
      </c>
      <c r="H75" s="19">
        <f t="shared" si="13"/>
        <v>1152.3942452949352</v>
      </c>
      <c r="I75" s="59">
        <f t="shared" si="14"/>
        <v>0.9129788325306184</v>
      </c>
      <c r="J75" s="18">
        <v>4.6399999999999997</v>
      </c>
      <c r="K75" s="19">
        <v>97</v>
      </c>
      <c r="L75" s="18">
        <v>1099</v>
      </c>
      <c r="M75" s="19">
        <v>73</v>
      </c>
      <c r="N75" s="19">
        <f t="shared" si="15"/>
        <v>31346</v>
      </c>
      <c r="O75" s="19">
        <f t="shared" si="16"/>
        <v>3080</v>
      </c>
      <c r="P75" s="19">
        <f t="shared" si="17"/>
        <v>4482</v>
      </c>
      <c r="Q75" s="19">
        <f t="shared" si="18"/>
        <v>38908</v>
      </c>
      <c r="R75" s="19">
        <f t="shared" si="19"/>
        <v>88297</v>
      </c>
      <c r="S75" s="19">
        <f t="shared" si="20"/>
        <v>12718</v>
      </c>
      <c r="T75" s="19">
        <f t="shared" si="21"/>
        <v>101015</v>
      </c>
      <c r="U75" s="61">
        <f t="shared" si="22"/>
        <v>139923</v>
      </c>
      <c r="V75" s="19">
        <v>142989</v>
      </c>
      <c r="W75" s="19">
        <f t="shared" si="23"/>
        <v>-3066</v>
      </c>
    </row>
    <row r="76" spans="1:23" x14ac:dyDescent="0.25">
      <c r="A76" s="28" t="s">
        <v>6</v>
      </c>
      <c r="B76" s="29" t="s">
        <v>117</v>
      </c>
      <c r="C76" s="19">
        <v>13602</v>
      </c>
      <c r="D76" s="19">
        <f>Tasandusfond!F76</f>
        <v>12345131</v>
      </c>
      <c r="E76" s="19">
        <v>676061.46000000299</v>
      </c>
      <c r="F76" s="19">
        <v>2275896</v>
      </c>
      <c r="G76" s="19">
        <f t="shared" si="12"/>
        <v>15297088.460000003</v>
      </c>
      <c r="H76" s="19">
        <f t="shared" si="13"/>
        <v>1124.6205308042936</v>
      </c>
      <c r="I76" s="59">
        <f t="shared" si="14"/>
        <v>0.89097523998038397</v>
      </c>
      <c r="J76" s="18">
        <v>4.79</v>
      </c>
      <c r="K76" s="19">
        <v>44</v>
      </c>
      <c r="L76" s="18">
        <v>1807</v>
      </c>
      <c r="M76" s="19">
        <v>115</v>
      </c>
      <c r="N76" s="19">
        <f t="shared" si="15"/>
        <v>14570</v>
      </c>
      <c r="O76" s="19">
        <f t="shared" si="16"/>
        <v>5190</v>
      </c>
      <c r="P76" s="19">
        <f t="shared" si="17"/>
        <v>7235</v>
      </c>
      <c r="Q76" s="19">
        <f t="shared" si="18"/>
        <v>26995</v>
      </c>
      <c r="R76" s="19">
        <f t="shared" si="19"/>
        <v>153574</v>
      </c>
      <c r="S76" s="19">
        <f t="shared" si="20"/>
        <v>21194</v>
      </c>
      <c r="T76" s="19">
        <f t="shared" si="21"/>
        <v>174768</v>
      </c>
      <c r="U76" s="61">
        <f t="shared" si="22"/>
        <v>201763</v>
      </c>
      <c r="V76" s="19">
        <v>202269</v>
      </c>
      <c r="W76" s="19">
        <f t="shared" si="23"/>
        <v>-506</v>
      </c>
    </row>
    <row r="77" spans="1:23" x14ac:dyDescent="0.25">
      <c r="A77" s="28" t="s">
        <v>6</v>
      </c>
      <c r="B77" s="29" t="s">
        <v>5</v>
      </c>
      <c r="C77" s="19">
        <v>16651</v>
      </c>
      <c r="D77" s="19">
        <f>Tasandusfond!F77</f>
        <v>16131893</v>
      </c>
      <c r="E77" s="19">
        <v>163311.950000001</v>
      </c>
      <c r="F77" s="19">
        <v>1537532</v>
      </c>
      <c r="G77" s="19">
        <f t="shared" si="12"/>
        <v>17832736.950000003</v>
      </c>
      <c r="H77" s="19">
        <f t="shared" si="13"/>
        <v>1070.9709296738936</v>
      </c>
      <c r="I77" s="59">
        <f t="shared" si="14"/>
        <v>0.84847159992339105</v>
      </c>
      <c r="J77" s="18">
        <v>0</v>
      </c>
      <c r="K77" s="19">
        <v>114</v>
      </c>
      <c r="L77" s="18">
        <v>2491</v>
      </c>
      <c r="M77" s="19">
        <v>148</v>
      </c>
      <c r="N77" s="19">
        <f t="shared" si="15"/>
        <v>39641</v>
      </c>
      <c r="O77" s="19">
        <f t="shared" si="16"/>
        <v>7513</v>
      </c>
      <c r="P77" s="19">
        <f t="shared" si="17"/>
        <v>9778</v>
      </c>
      <c r="Q77" s="19">
        <f t="shared" si="18"/>
        <v>56932</v>
      </c>
      <c r="R77" s="19">
        <f t="shared" si="19"/>
        <v>0</v>
      </c>
      <c r="S77" s="19">
        <f t="shared" si="20"/>
        <v>0</v>
      </c>
      <c r="T77" s="19">
        <f t="shared" si="21"/>
        <v>0</v>
      </c>
      <c r="U77" s="61">
        <f t="shared" si="22"/>
        <v>56932</v>
      </c>
      <c r="V77" s="19">
        <v>55805</v>
      </c>
      <c r="W77" s="19">
        <f t="shared" si="23"/>
        <v>1127</v>
      </c>
    </row>
    <row r="78" spans="1:23" x14ac:dyDescent="0.25">
      <c r="A78" s="28" t="s">
        <v>1</v>
      </c>
      <c r="B78" s="29" t="s">
        <v>114</v>
      </c>
      <c r="C78" s="19">
        <v>4380</v>
      </c>
      <c r="D78" s="19">
        <f>Tasandusfond!F78</f>
        <v>3595461</v>
      </c>
      <c r="E78" s="19">
        <v>150084.41</v>
      </c>
      <c r="F78" s="19">
        <v>975763</v>
      </c>
      <c r="G78" s="19">
        <f t="shared" si="12"/>
        <v>4721308.41</v>
      </c>
      <c r="H78" s="19">
        <f t="shared" si="13"/>
        <v>1077.9242945205481</v>
      </c>
      <c r="I78" s="59">
        <f t="shared" si="14"/>
        <v>0.85398036998691507</v>
      </c>
      <c r="J78" s="18">
        <v>4.7300000000000004</v>
      </c>
      <c r="K78" s="19">
        <v>26</v>
      </c>
      <c r="L78" s="18">
        <v>553</v>
      </c>
      <c r="M78" s="19">
        <v>47</v>
      </c>
      <c r="N78" s="19">
        <f t="shared" si="15"/>
        <v>8983</v>
      </c>
      <c r="O78" s="19">
        <f t="shared" si="16"/>
        <v>1657</v>
      </c>
      <c r="P78" s="19">
        <f t="shared" si="17"/>
        <v>3085</v>
      </c>
      <c r="Q78" s="19">
        <f t="shared" si="18"/>
        <v>13725</v>
      </c>
      <c r="R78" s="19">
        <f t="shared" si="19"/>
        <v>48420</v>
      </c>
      <c r="S78" s="19">
        <f t="shared" si="20"/>
        <v>8924</v>
      </c>
      <c r="T78" s="19">
        <f t="shared" si="21"/>
        <v>57344</v>
      </c>
      <c r="U78" s="61">
        <f t="shared" si="22"/>
        <v>71069</v>
      </c>
      <c r="V78" s="19">
        <v>74663</v>
      </c>
      <c r="W78" s="19">
        <f t="shared" si="23"/>
        <v>-3594</v>
      </c>
    </row>
    <row r="79" spans="1:23" x14ac:dyDescent="0.25">
      <c r="A79" s="28" t="s">
        <v>1</v>
      </c>
      <c r="B79" s="29" t="s">
        <v>102</v>
      </c>
      <c r="C79" s="19">
        <v>5239</v>
      </c>
      <c r="D79" s="19">
        <f>Tasandusfond!F79</f>
        <v>4657652</v>
      </c>
      <c r="E79" s="19">
        <v>328438.99999999924</v>
      </c>
      <c r="F79" s="19">
        <v>617399.82219067577</v>
      </c>
      <c r="G79" s="19">
        <f t="shared" si="12"/>
        <v>5603490.822190675</v>
      </c>
      <c r="H79" s="19">
        <f t="shared" si="13"/>
        <v>1069.5725944246374</v>
      </c>
      <c r="I79" s="59">
        <f t="shared" si="14"/>
        <v>0.84736377550604014</v>
      </c>
      <c r="J79" s="18">
        <v>4.99</v>
      </c>
      <c r="K79" s="19">
        <v>47</v>
      </c>
      <c r="L79" s="18">
        <v>601</v>
      </c>
      <c r="M79" s="19">
        <v>29</v>
      </c>
      <c r="N79" s="19">
        <f t="shared" si="15"/>
        <v>16365</v>
      </c>
      <c r="O79" s="19">
        <f t="shared" si="16"/>
        <v>1815</v>
      </c>
      <c r="P79" s="19">
        <f t="shared" si="17"/>
        <v>1918</v>
      </c>
      <c r="Q79" s="19">
        <f t="shared" si="18"/>
        <v>20098</v>
      </c>
      <c r="R79" s="19">
        <f t="shared" si="19"/>
        <v>55949</v>
      </c>
      <c r="S79" s="19">
        <f t="shared" si="20"/>
        <v>5854</v>
      </c>
      <c r="T79" s="19">
        <f t="shared" si="21"/>
        <v>61803</v>
      </c>
      <c r="U79" s="61">
        <f t="shared" si="22"/>
        <v>81901</v>
      </c>
      <c r="V79" s="19">
        <v>97224</v>
      </c>
      <c r="W79" s="19">
        <f t="shared" si="23"/>
        <v>-15323</v>
      </c>
    </row>
    <row r="80" spans="1:23" x14ac:dyDescent="0.25">
      <c r="A80" s="28" t="s">
        <v>1</v>
      </c>
      <c r="B80" s="29" t="s">
        <v>604</v>
      </c>
      <c r="C80" s="19">
        <v>3209</v>
      </c>
      <c r="D80" s="19">
        <f>Tasandusfond!F80</f>
        <v>2652407</v>
      </c>
      <c r="E80" s="19">
        <v>182889.08999999979</v>
      </c>
      <c r="F80" s="19">
        <v>651485</v>
      </c>
      <c r="G80" s="19">
        <f t="shared" si="12"/>
        <v>3486781.09</v>
      </c>
      <c r="H80" s="19">
        <f t="shared" si="13"/>
        <v>1086.5631318167652</v>
      </c>
      <c r="I80" s="59">
        <f t="shared" si="14"/>
        <v>0.86082444754225185</v>
      </c>
      <c r="J80" s="18">
        <v>4.88</v>
      </c>
      <c r="K80" s="19">
        <v>55</v>
      </c>
      <c r="L80" s="18">
        <v>339</v>
      </c>
      <c r="M80" s="19">
        <v>9</v>
      </c>
      <c r="N80" s="19">
        <f t="shared" si="15"/>
        <v>18851</v>
      </c>
      <c r="O80" s="19">
        <f t="shared" si="16"/>
        <v>1008</v>
      </c>
      <c r="P80" s="19">
        <f t="shared" si="17"/>
        <v>586</v>
      </c>
      <c r="Q80" s="19">
        <f t="shared" si="18"/>
        <v>20445</v>
      </c>
      <c r="R80" s="19">
        <f t="shared" si="19"/>
        <v>30380</v>
      </c>
      <c r="S80" s="19">
        <f t="shared" si="20"/>
        <v>1749</v>
      </c>
      <c r="T80" s="19">
        <f t="shared" si="21"/>
        <v>32129</v>
      </c>
      <c r="U80" s="61">
        <f t="shared" si="22"/>
        <v>52574</v>
      </c>
      <c r="V80" s="19">
        <v>79091</v>
      </c>
      <c r="W80" s="19">
        <f t="shared" si="23"/>
        <v>-26517</v>
      </c>
    </row>
    <row r="81" spans="1:23" x14ac:dyDescent="0.25">
      <c r="A81" s="28" t="s">
        <v>1</v>
      </c>
      <c r="B81" s="29" t="s">
        <v>92</v>
      </c>
      <c r="C81" s="19">
        <v>10646</v>
      </c>
      <c r="D81" s="19">
        <f>Tasandusfond!F81</f>
        <v>9285349</v>
      </c>
      <c r="E81" s="19">
        <v>336776.03999999852</v>
      </c>
      <c r="F81" s="19">
        <v>2442518</v>
      </c>
      <c r="G81" s="19">
        <f t="shared" si="12"/>
        <v>12064643.039999999</v>
      </c>
      <c r="H81" s="19">
        <f t="shared" si="13"/>
        <v>1133.2559684388502</v>
      </c>
      <c r="I81" s="59">
        <f t="shared" si="14"/>
        <v>0.89781662417002017</v>
      </c>
      <c r="J81" s="18">
        <v>4.83</v>
      </c>
      <c r="K81" s="19">
        <v>90</v>
      </c>
      <c r="L81" s="18">
        <v>1583</v>
      </c>
      <c r="M81" s="19">
        <v>86</v>
      </c>
      <c r="N81" s="19">
        <f t="shared" si="15"/>
        <v>29575</v>
      </c>
      <c r="O81" s="19">
        <f t="shared" si="16"/>
        <v>4512</v>
      </c>
      <c r="P81" s="19">
        <f t="shared" si="17"/>
        <v>5369</v>
      </c>
      <c r="Q81" s="19">
        <f t="shared" si="18"/>
        <v>39456</v>
      </c>
      <c r="R81" s="19">
        <f t="shared" si="19"/>
        <v>134626</v>
      </c>
      <c r="S81" s="19">
        <f t="shared" si="20"/>
        <v>15860</v>
      </c>
      <c r="T81" s="19">
        <f t="shared" si="21"/>
        <v>150486</v>
      </c>
      <c r="U81" s="61">
        <f t="shared" si="22"/>
        <v>189942</v>
      </c>
      <c r="V81" s="19">
        <v>208606</v>
      </c>
      <c r="W81" s="19">
        <f t="shared" si="23"/>
        <v>-18664</v>
      </c>
    </row>
    <row r="82" spans="1:23" x14ac:dyDescent="0.25">
      <c r="A82" s="28" t="s">
        <v>1</v>
      </c>
      <c r="B82" s="29" t="s">
        <v>0</v>
      </c>
      <c r="C82" s="19">
        <v>11368</v>
      </c>
      <c r="D82" s="19">
        <f>Tasandusfond!F82</f>
        <v>9761590</v>
      </c>
      <c r="E82" s="19">
        <v>105994.89</v>
      </c>
      <c r="F82" s="19">
        <v>2023807</v>
      </c>
      <c r="G82" s="19">
        <f t="shared" si="12"/>
        <v>11891391.890000001</v>
      </c>
      <c r="H82" s="19">
        <f t="shared" si="13"/>
        <v>1046.0408066502464</v>
      </c>
      <c r="I82" s="59">
        <f t="shared" si="14"/>
        <v>0.82872082912086165</v>
      </c>
      <c r="J82" s="18">
        <v>0</v>
      </c>
      <c r="K82" s="19">
        <v>192</v>
      </c>
      <c r="L82" s="18">
        <v>1558</v>
      </c>
      <c r="M82" s="19">
        <v>98</v>
      </c>
      <c r="N82" s="19">
        <f t="shared" si="15"/>
        <v>68355</v>
      </c>
      <c r="O82" s="19">
        <f t="shared" si="16"/>
        <v>4811</v>
      </c>
      <c r="P82" s="19">
        <f t="shared" si="17"/>
        <v>6629</v>
      </c>
      <c r="Q82" s="19">
        <f t="shared" si="18"/>
        <v>79795</v>
      </c>
      <c r="R82" s="19">
        <f t="shared" si="19"/>
        <v>0</v>
      </c>
      <c r="S82" s="19">
        <f t="shared" si="20"/>
        <v>0</v>
      </c>
      <c r="T82" s="19">
        <f t="shared" si="21"/>
        <v>0</v>
      </c>
      <c r="U82" s="61">
        <f t="shared" si="22"/>
        <v>79795</v>
      </c>
      <c r="V82" s="19">
        <v>96406</v>
      </c>
      <c r="W82" s="19">
        <f t="shared" si="23"/>
        <v>-16611</v>
      </c>
    </row>
    <row r="83" spans="1:23" x14ac:dyDescent="0.25">
      <c r="A83" s="204" t="s">
        <v>512</v>
      </c>
      <c r="B83" s="204"/>
      <c r="C83" s="58">
        <f>SUM(C4:C82)</f>
        <v>1340054</v>
      </c>
      <c r="D83" s="58">
        <f t="shared" ref="D83:W83" si="24">SUM(D4:D82)</f>
        <v>1525688250</v>
      </c>
      <c r="E83" s="58">
        <f t="shared" si="24"/>
        <v>59759304.040001124</v>
      </c>
      <c r="F83" s="58">
        <f t="shared" si="24"/>
        <v>106016106.40873989</v>
      </c>
      <c r="G83" s="58">
        <f t="shared" si="24"/>
        <v>1691463660.4487422</v>
      </c>
      <c r="H83" s="46">
        <f t="shared" si="13"/>
        <v>1262.2354475631148</v>
      </c>
      <c r="I83" s="60">
        <f t="shared" si="14"/>
        <v>1</v>
      </c>
      <c r="J83" s="58"/>
      <c r="K83" s="58">
        <f t="shared" si="24"/>
        <v>13369</v>
      </c>
      <c r="L83" s="58">
        <f t="shared" si="24"/>
        <v>198071</v>
      </c>
      <c r="M83" s="58">
        <f t="shared" si="24"/>
        <v>8717</v>
      </c>
      <c r="N83" s="58">
        <f t="shared" si="24"/>
        <v>4100000</v>
      </c>
      <c r="O83" s="58">
        <f t="shared" si="24"/>
        <v>512500</v>
      </c>
      <c r="P83" s="58">
        <f t="shared" si="24"/>
        <v>512500</v>
      </c>
      <c r="Q83" s="58">
        <f t="shared" si="24"/>
        <v>5125000</v>
      </c>
      <c r="R83" s="58">
        <f t="shared" si="24"/>
        <v>4612500</v>
      </c>
      <c r="S83" s="58">
        <f t="shared" si="24"/>
        <v>512500</v>
      </c>
      <c r="T83" s="58">
        <f t="shared" si="24"/>
        <v>5125000</v>
      </c>
      <c r="U83" s="58">
        <f t="shared" si="24"/>
        <v>10250000</v>
      </c>
      <c r="V83" s="58">
        <f t="shared" si="24"/>
        <v>10250000</v>
      </c>
      <c r="W83" s="58">
        <f t="shared" si="24"/>
        <v>0</v>
      </c>
    </row>
    <row r="84" spans="1:23" x14ac:dyDescent="0.25">
      <c r="N84" s="2">
        <f>$Q84*N3</f>
        <v>4100000</v>
      </c>
      <c r="O84" s="2">
        <f>$Q84*O3</f>
        <v>512500</v>
      </c>
      <c r="P84" s="2">
        <f>$Q84*P3</f>
        <v>512500</v>
      </c>
      <c r="Q84" s="2">
        <f>U84*Q3</f>
        <v>5125000</v>
      </c>
      <c r="R84" s="2">
        <f>$T84*R3</f>
        <v>4612500</v>
      </c>
      <c r="S84" s="2">
        <f>$T84*S3</f>
        <v>512500</v>
      </c>
      <c r="T84" s="2">
        <f>U84*T3</f>
        <v>5125000</v>
      </c>
      <c r="U84" s="2">
        <v>10250000</v>
      </c>
    </row>
    <row r="85" spans="1:23" x14ac:dyDescent="0.25">
      <c r="N85" s="21">
        <f>N84-N83</f>
        <v>0</v>
      </c>
      <c r="O85" s="21">
        <f t="shared" ref="O85:U85" si="25">O84-O83</f>
        <v>0</v>
      </c>
      <c r="P85" s="21">
        <f t="shared" si="25"/>
        <v>0</v>
      </c>
      <c r="Q85" s="21">
        <f t="shared" si="25"/>
        <v>0</v>
      </c>
      <c r="R85" s="21">
        <f t="shared" si="25"/>
        <v>0</v>
      </c>
      <c r="S85" s="21">
        <f t="shared" si="25"/>
        <v>0</v>
      </c>
      <c r="T85" s="21">
        <f t="shared" si="25"/>
        <v>0</v>
      </c>
      <c r="U85" s="21">
        <f t="shared" si="25"/>
        <v>0</v>
      </c>
    </row>
    <row r="86" spans="1:23" x14ac:dyDescent="0.25">
      <c r="N86" s="118">
        <v>295.03640000000001</v>
      </c>
      <c r="O86" s="118">
        <v>2.5590649999999999</v>
      </c>
      <c r="P86" s="118">
        <v>56.054499999999997</v>
      </c>
      <c r="R86">
        <v>15.808472999999999</v>
      </c>
      <c r="S86">
        <v>34.279899999999998</v>
      </c>
    </row>
    <row r="88" spans="1:23" x14ac:dyDescent="0.25">
      <c r="N88" s="153"/>
      <c r="O88" s="2"/>
      <c r="P88" s="62"/>
      <c r="R88" s="2"/>
      <c r="S88" s="2"/>
    </row>
  </sheetData>
  <mergeCells count="15">
    <mergeCell ref="V1:V3"/>
    <mergeCell ref="W1:W3"/>
    <mergeCell ref="K1:K3"/>
    <mergeCell ref="L1:L3"/>
    <mergeCell ref="M1:M3"/>
    <mergeCell ref="N1:Q1"/>
    <mergeCell ref="R1:T1"/>
    <mergeCell ref="A1:A3"/>
    <mergeCell ref="B1:B3"/>
    <mergeCell ref="A83:B83"/>
    <mergeCell ref="C1:I1"/>
    <mergeCell ref="U1:U3"/>
    <mergeCell ref="C2:C3"/>
    <mergeCell ref="D2:I2"/>
    <mergeCell ref="J1:J3"/>
  </mergeCells>
  <conditionalFormatting sqref="M4:M82">
    <cfRule type="cellIs" dxfId="3" priority="1" operator="between">
      <formula>1</formula>
      <formula>2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7"/>
  <sheetViews>
    <sheetView workbookViewId="0">
      <pane xSplit="2" ySplit="3" topLeftCell="C64" activePane="bottomRight" state="frozen"/>
      <selection pane="topRight" activeCell="D1" sqref="D1"/>
      <selection pane="bottomLeft" activeCell="A4" sqref="A4"/>
      <selection pane="bottomRight" activeCell="G79" sqref="G79"/>
    </sheetView>
  </sheetViews>
  <sheetFormatPr defaultRowHeight="13.2" x14ac:dyDescent="0.25"/>
  <cols>
    <col min="1" max="1" width="9.5546875" style="27" bestFit="1" customWidth="1"/>
    <col min="2" max="2" width="19.44140625" style="27" bestFit="1" customWidth="1"/>
    <col min="3" max="3" width="22" customWidth="1"/>
    <col min="4" max="4" width="18.33203125" customWidth="1"/>
    <col min="5" max="5" width="14.5546875" customWidth="1"/>
    <col min="6" max="6" width="11.88671875" customWidth="1"/>
    <col min="7" max="7" width="10.109375" customWidth="1"/>
    <col min="8" max="8" width="10" customWidth="1"/>
    <col min="9" max="9" width="10.6640625" bestFit="1" customWidth="1"/>
    <col min="10" max="10" width="11" customWidth="1"/>
  </cols>
  <sheetData>
    <row r="1" spans="1:11" x14ac:dyDescent="0.25">
      <c r="A1" s="186" t="s">
        <v>511</v>
      </c>
      <c r="B1" s="186" t="s">
        <v>510</v>
      </c>
      <c r="C1" s="190" t="s">
        <v>694</v>
      </c>
      <c r="D1" s="190" t="s">
        <v>780</v>
      </c>
      <c r="E1" s="213" t="s">
        <v>777</v>
      </c>
      <c r="F1" s="213"/>
      <c r="G1" s="213"/>
      <c r="H1" s="214" t="s">
        <v>750</v>
      </c>
      <c r="I1" s="214" t="s">
        <v>534</v>
      </c>
      <c r="K1" s="150" t="s">
        <v>554</v>
      </c>
    </row>
    <row r="2" spans="1:11" x14ac:dyDescent="0.25">
      <c r="A2" s="186"/>
      <c r="B2" s="186"/>
      <c r="C2" s="215"/>
      <c r="D2" s="215"/>
      <c r="E2" s="207" t="s">
        <v>695</v>
      </c>
      <c r="F2" s="207" t="s">
        <v>586</v>
      </c>
      <c r="G2" s="207" t="s">
        <v>512</v>
      </c>
      <c r="H2" s="214"/>
      <c r="I2" s="214"/>
      <c r="K2" s="150" t="s">
        <v>734</v>
      </c>
    </row>
    <row r="3" spans="1:11" ht="25.5" customHeight="1" x14ac:dyDescent="0.25">
      <c r="A3" s="186"/>
      <c r="B3" s="186"/>
      <c r="C3" s="216"/>
      <c r="D3" s="216"/>
      <c r="E3" s="207"/>
      <c r="F3" s="207"/>
      <c r="G3" s="207"/>
      <c r="H3" s="214"/>
      <c r="I3" s="214"/>
      <c r="K3" t="s">
        <v>835</v>
      </c>
    </row>
    <row r="4" spans="1:11" x14ac:dyDescent="0.25">
      <c r="A4" s="28" t="s">
        <v>69</v>
      </c>
      <c r="B4" s="29" t="s">
        <v>490</v>
      </c>
      <c r="C4" s="112" t="s">
        <v>554</v>
      </c>
      <c r="D4" s="19">
        <v>322</v>
      </c>
      <c r="E4" s="19">
        <f>IF($C4="jah",K4,0)</f>
        <v>84387</v>
      </c>
      <c r="F4" s="19">
        <f>IF($C4="jah",D4*F$86,0)</f>
        <v>27184.212439999999</v>
      </c>
      <c r="G4" s="19">
        <f>ROUND(E4+F4,0)</f>
        <v>111571</v>
      </c>
      <c r="H4" s="19">
        <v>111299</v>
      </c>
      <c r="I4" s="19">
        <f>G4-H4</f>
        <v>272</v>
      </c>
      <c r="K4" s="2">
        <v>84387</v>
      </c>
    </row>
    <row r="5" spans="1:11" x14ac:dyDescent="0.25">
      <c r="A5" s="28" t="s">
        <v>69</v>
      </c>
      <c r="B5" s="29" t="s">
        <v>488</v>
      </c>
      <c r="C5" s="112" t="s">
        <v>554</v>
      </c>
      <c r="D5" s="19">
        <v>1138</v>
      </c>
      <c r="E5" s="19">
        <f t="shared" ref="E5:E68" si="0">IF($C5="jah",K5,0)</f>
        <v>0</v>
      </c>
      <c r="F5" s="19">
        <f t="shared" ref="F5:F68" si="1">IF($C5="jah",D5*F$86,0)</f>
        <v>96073.396759999989</v>
      </c>
      <c r="G5" s="19">
        <f t="shared" ref="G5:G68" si="2">ROUND(E5+F5,0)</f>
        <v>96073</v>
      </c>
      <c r="H5" s="19">
        <v>91588</v>
      </c>
      <c r="I5" s="19">
        <f>G5-H5</f>
        <v>4485</v>
      </c>
      <c r="K5" s="2">
        <v>0</v>
      </c>
    </row>
    <row r="6" spans="1:11" x14ac:dyDescent="0.25">
      <c r="A6" s="28" t="s">
        <v>69</v>
      </c>
      <c r="B6" s="29" t="s">
        <v>486</v>
      </c>
      <c r="C6" s="112" t="s">
        <v>554</v>
      </c>
      <c r="D6" s="19">
        <v>455</v>
      </c>
      <c r="E6" s="19">
        <f t="shared" si="0"/>
        <v>31903</v>
      </c>
      <c r="F6" s="19">
        <f t="shared" si="1"/>
        <v>38412.474099999999</v>
      </c>
      <c r="G6" s="19">
        <f t="shared" si="2"/>
        <v>70315</v>
      </c>
      <c r="H6" s="19">
        <v>69233</v>
      </c>
      <c r="I6" s="19">
        <f t="shared" ref="I6:I69" si="3">G6-H6</f>
        <v>1082</v>
      </c>
      <c r="K6" s="2">
        <v>31903</v>
      </c>
    </row>
    <row r="7" spans="1:11" x14ac:dyDescent="0.25">
      <c r="A7" s="28" t="s">
        <v>69</v>
      </c>
      <c r="B7" s="29" t="s">
        <v>81</v>
      </c>
      <c r="C7" s="112" t="s">
        <v>554</v>
      </c>
      <c r="D7" s="19">
        <v>726</v>
      </c>
      <c r="E7" s="19">
        <f t="shared" si="0"/>
        <v>56480</v>
      </c>
      <c r="F7" s="19">
        <f t="shared" si="1"/>
        <v>61291.112519999995</v>
      </c>
      <c r="G7" s="19">
        <f t="shared" si="2"/>
        <v>117771</v>
      </c>
      <c r="H7" s="19">
        <v>117770</v>
      </c>
      <c r="I7" s="19">
        <f t="shared" si="3"/>
        <v>1</v>
      </c>
      <c r="K7" s="2">
        <v>56480</v>
      </c>
    </row>
    <row r="8" spans="1:11" x14ac:dyDescent="0.25">
      <c r="A8" s="28" t="s">
        <v>69</v>
      </c>
      <c r="B8" s="29" t="s">
        <v>480</v>
      </c>
      <c r="C8" s="112" t="s">
        <v>554</v>
      </c>
      <c r="D8" s="19">
        <v>416</v>
      </c>
      <c r="E8" s="19">
        <f t="shared" si="0"/>
        <v>22812</v>
      </c>
      <c r="F8" s="19">
        <f t="shared" si="1"/>
        <v>35119.976319999994</v>
      </c>
      <c r="G8" s="19">
        <f t="shared" si="2"/>
        <v>57932</v>
      </c>
      <c r="H8" s="19">
        <v>58492</v>
      </c>
      <c r="I8" s="19">
        <f t="shared" si="3"/>
        <v>-560</v>
      </c>
      <c r="K8" s="2">
        <v>22812</v>
      </c>
    </row>
    <row r="9" spans="1:11" x14ac:dyDescent="0.25">
      <c r="A9" s="28" t="s">
        <v>69</v>
      </c>
      <c r="B9" s="29" t="s">
        <v>478</v>
      </c>
      <c r="C9" s="112" t="s">
        <v>554</v>
      </c>
      <c r="D9" s="19">
        <v>558</v>
      </c>
      <c r="E9" s="19">
        <f t="shared" si="0"/>
        <v>104524</v>
      </c>
      <c r="F9" s="19">
        <f t="shared" si="1"/>
        <v>47108.045159999994</v>
      </c>
      <c r="G9" s="19">
        <f t="shared" si="2"/>
        <v>151632</v>
      </c>
      <c r="H9" s="19">
        <v>152705</v>
      </c>
      <c r="I9" s="19">
        <f t="shared" si="3"/>
        <v>-1073</v>
      </c>
      <c r="K9" s="2">
        <v>104524</v>
      </c>
    </row>
    <row r="10" spans="1:11" x14ac:dyDescent="0.25">
      <c r="A10" s="28" t="s">
        <v>69</v>
      </c>
      <c r="B10" s="29" t="s">
        <v>476</v>
      </c>
      <c r="C10" s="112" t="s">
        <v>554</v>
      </c>
      <c r="D10" s="19">
        <v>371</v>
      </c>
      <c r="E10" s="19">
        <f t="shared" si="0"/>
        <v>0</v>
      </c>
      <c r="F10" s="19">
        <f t="shared" si="1"/>
        <v>31320.940419999999</v>
      </c>
      <c r="G10" s="19">
        <f t="shared" si="2"/>
        <v>31321</v>
      </c>
      <c r="H10" s="19">
        <v>30819</v>
      </c>
      <c r="I10" s="19">
        <f t="shared" si="3"/>
        <v>502</v>
      </c>
      <c r="K10" s="2">
        <v>0</v>
      </c>
    </row>
    <row r="11" spans="1:11" x14ac:dyDescent="0.25">
      <c r="A11" s="28" t="s">
        <v>69</v>
      </c>
      <c r="B11" s="29" t="s">
        <v>83</v>
      </c>
      <c r="C11" s="112" t="s">
        <v>554</v>
      </c>
      <c r="D11" s="19">
        <v>58</v>
      </c>
      <c r="E11" s="19">
        <f t="shared" si="0"/>
        <v>41793</v>
      </c>
      <c r="F11" s="19">
        <f t="shared" si="1"/>
        <v>4896.5351599999995</v>
      </c>
      <c r="G11" s="19">
        <f t="shared" si="2"/>
        <v>46690</v>
      </c>
      <c r="H11" s="19">
        <v>47089</v>
      </c>
      <c r="I11" s="19">
        <f t="shared" si="3"/>
        <v>-399</v>
      </c>
      <c r="K11" s="2">
        <v>41793</v>
      </c>
    </row>
    <row r="12" spans="1:11" x14ac:dyDescent="0.25">
      <c r="A12" s="28" t="s">
        <v>69</v>
      </c>
      <c r="B12" s="29" t="s">
        <v>605</v>
      </c>
      <c r="C12" s="112" t="s">
        <v>554</v>
      </c>
      <c r="D12" s="19">
        <v>671</v>
      </c>
      <c r="E12" s="19">
        <f t="shared" si="0"/>
        <v>124413</v>
      </c>
      <c r="F12" s="19">
        <f t="shared" si="1"/>
        <v>56647.846419999994</v>
      </c>
      <c r="G12" s="19">
        <f t="shared" si="2"/>
        <v>181061</v>
      </c>
      <c r="H12" s="19">
        <v>180321</v>
      </c>
      <c r="I12" s="19">
        <f t="shared" si="3"/>
        <v>740</v>
      </c>
      <c r="K12" s="2">
        <v>124413</v>
      </c>
    </row>
    <row r="13" spans="1:11" x14ac:dyDescent="0.25">
      <c r="A13" s="28" t="s">
        <v>69</v>
      </c>
      <c r="B13" s="29" t="s">
        <v>68</v>
      </c>
      <c r="C13" s="112" t="s">
        <v>554</v>
      </c>
      <c r="D13" s="19">
        <v>737</v>
      </c>
      <c r="E13" s="19">
        <f t="shared" si="0"/>
        <v>139610</v>
      </c>
      <c r="F13" s="19">
        <f t="shared" si="1"/>
        <v>62219.765739999995</v>
      </c>
      <c r="G13" s="19">
        <f t="shared" si="2"/>
        <v>201830</v>
      </c>
      <c r="H13" s="19">
        <v>200814</v>
      </c>
      <c r="I13" s="19">
        <f t="shared" si="3"/>
        <v>1016</v>
      </c>
      <c r="K13" s="2">
        <v>139610</v>
      </c>
    </row>
    <row r="14" spans="1:11" x14ac:dyDescent="0.25">
      <c r="A14" s="28" t="s">
        <v>69</v>
      </c>
      <c r="B14" s="29" t="s">
        <v>470</v>
      </c>
      <c r="C14" s="112" t="s">
        <v>554</v>
      </c>
      <c r="D14" s="19">
        <v>387</v>
      </c>
      <c r="E14" s="19">
        <f t="shared" si="0"/>
        <v>73448</v>
      </c>
      <c r="F14" s="19">
        <f t="shared" si="1"/>
        <v>32671.708739999998</v>
      </c>
      <c r="G14" s="19">
        <f t="shared" si="2"/>
        <v>106120</v>
      </c>
      <c r="H14" s="19">
        <v>104961</v>
      </c>
      <c r="I14" s="19">
        <f t="shared" si="3"/>
        <v>1159</v>
      </c>
      <c r="K14" s="2">
        <v>73448</v>
      </c>
    </row>
    <row r="15" spans="1:11" x14ac:dyDescent="0.25">
      <c r="A15" s="28" t="s">
        <v>69</v>
      </c>
      <c r="B15" s="29" t="s">
        <v>468</v>
      </c>
      <c r="C15" s="112" t="s">
        <v>554</v>
      </c>
      <c r="D15" s="19">
        <v>2117</v>
      </c>
      <c r="E15" s="19">
        <f t="shared" si="0"/>
        <v>33303</v>
      </c>
      <c r="F15" s="19">
        <f t="shared" si="1"/>
        <v>178723.53333999999</v>
      </c>
      <c r="G15" s="19">
        <f t="shared" si="2"/>
        <v>212027</v>
      </c>
      <c r="H15" s="19">
        <v>212833</v>
      </c>
      <c r="I15" s="19">
        <f t="shared" si="3"/>
        <v>-806</v>
      </c>
      <c r="K15" s="2">
        <v>33303</v>
      </c>
    </row>
    <row r="16" spans="1:11" x14ac:dyDescent="0.25">
      <c r="A16" s="28" t="s">
        <v>69</v>
      </c>
      <c r="B16" s="29" t="s">
        <v>466</v>
      </c>
      <c r="C16" s="112" t="s">
        <v>554</v>
      </c>
      <c r="D16" s="19">
        <v>835</v>
      </c>
      <c r="E16" s="19">
        <f t="shared" si="0"/>
        <v>0</v>
      </c>
      <c r="F16" s="19">
        <f t="shared" si="1"/>
        <v>70493.221699999995</v>
      </c>
      <c r="G16" s="19">
        <f t="shared" si="2"/>
        <v>70493</v>
      </c>
      <c r="H16" s="19">
        <v>63895</v>
      </c>
      <c r="I16" s="19">
        <f t="shared" si="3"/>
        <v>6598</v>
      </c>
      <c r="K16" s="2">
        <v>0</v>
      </c>
    </row>
    <row r="17" spans="1:11" x14ac:dyDescent="0.25">
      <c r="A17" s="28" t="s">
        <v>69</v>
      </c>
      <c r="B17" s="29" t="s">
        <v>464</v>
      </c>
      <c r="C17" s="112" t="s">
        <v>554</v>
      </c>
      <c r="D17" s="19">
        <v>1651</v>
      </c>
      <c r="E17" s="19">
        <f t="shared" si="0"/>
        <v>29596</v>
      </c>
      <c r="F17" s="19">
        <f t="shared" si="1"/>
        <v>139382.40601999999</v>
      </c>
      <c r="G17" s="19">
        <f t="shared" si="2"/>
        <v>168978</v>
      </c>
      <c r="H17" s="19">
        <v>157646</v>
      </c>
      <c r="I17" s="19">
        <f t="shared" si="3"/>
        <v>11332</v>
      </c>
      <c r="K17" s="2">
        <v>29596</v>
      </c>
    </row>
    <row r="18" spans="1:11" x14ac:dyDescent="0.25">
      <c r="A18" s="28" t="s">
        <v>69</v>
      </c>
      <c r="B18" s="31" t="s">
        <v>587</v>
      </c>
      <c r="C18" s="112" t="s">
        <v>554</v>
      </c>
      <c r="D18" s="19">
        <v>21263</v>
      </c>
      <c r="E18" s="19">
        <f t="shared" si="0"/>
        <v>480841</v>
      </c>
      <c r="F18" s="19">
        <f t="shared" si="1"/>
        <v>1795086.6742599998</v>
      </c>
      <c r="G18" s="19">
        <f t="shared" si="2"/>
        <v>2275928</v>
      </c>
      <c r="H18" s="19">
        <v>2311477</v>
      </c>
      <c r="I18" s="19">
        <f t="shared" si="3"/>
        <v>-35549</v>
      </c>
      <c r="K18" s="2">
        <v>480841</v>
      </c>
    </row>
    <row r="19" spans="1:11" x14ac:dyDescent="0.25">
      <c r="A19" s="28" t="s">
        <v>69</v>
      </c>
      <c r="B19" s="29" t="s">
        <v>460</v>
      </c>
      <c r="C19" s="112" t="s">
        <v>554</v>
      </c>
      <c r="D19" s="19">
        <v>1474</v>
      </c>
      <c r="E19" s="19">
        <f t="shared" si="0"/>
        <v>54994</v>
      </c>
      <c r="F19" s="19">
        <f t="shared" si="1"/>
        <v>124439.53147999999</v>
      </c>
      <c r="G19" s="19">
        <f t="shared" si="2"/>
        <v>179434</v>
      </c>
      <c r="H19" s="19">
        <v>179745</v>
      </c>
      <c r="I19" s="19">
        <f t="shared" si="3"/>
        <v>-311</v>
      </c>
      <c r="K19" s="2">
        <v>54994</v>
      </c>
    </row>
    <row r="20" spans="1:11" x14ac:dyDescent="0.25">
      <c r="A20" s="28" t="s">
        <v>67</v>
      </c>
      <c r="B20" s="29" t="s">
        <v>591</v>
      </c>
      <c r="C20" s="112" t="s">
        <v>554</v>
      </c>
      <c r="D20" s="19">
        <v>316</v>
      </c>
      <c r="E20" s="19">
        <f t="shared" si="0"/>
        <v>73842</v>
      </c>
      <c r="F20" s="19">
        <f t="shared" si="1"/>
        <v>26677.674319999998</v>
      </c>
      <c r="G20" s="19">
        <f t="shared" si="2"/>
        <v>100520</v>
      </c>
      <c r="H20" s="19">
        <v>100407</v>
      </c>
      <c r="I20" s="19">
        <f t="shared" si="3"/>
        <v>113</v>
      </c>
      <c r="K20" s="2">
        <v>73842</v>
      </c>
    </row>
    <row r="21" spans="1:11" x14ac:dyDescent="0.25">
      <c r="A21" s="28" t="s">
        <v>58</v>
      </c>
      <c r="B21" s="29" t="s">
        <v>592</v>
      </c>
      <c r="C21" s="112" t="s">
        <v>554</v>
      </c>
      <c r="D21" s="19">
        <v>192</v>
      </c>
      <c r="E21" s="19">
        <f t="shared" si="0"/>
        <v>42250</v>
      </c>
      <c r="F21" s="19">
        <f t="shared" si="1"/>
        <v>16209.219839999998</v>
      </c>
      <c r="G21" s="19">
        <f t="shared" si="2"/>
        <v>58459</v>
      </c>
      <c r="H21" s="19">
        <v>58658</v>
      </c>
      <c r="I21" s="19">
        <f t="shared" si="3"/>
        <v>-199</v>
      </c>
      <c r="K21" s="2">
        <v>42250</v>
      </c>
    </row>
    <row r="22" spans="1:11" x14ac:dyDescent="0.25">
      <c r="A22" s="28" t="s">
        <v>58</v>
      </c>
      <c r="B22" s="29" t="s">
        <v>434</v>
      </c>
      <c r="C22" s="112" t="s">
        <v>554</v>
      </c>
      <c r="D22" s="19">
        <v>542</v>
      </c>
      <c r="E22" s="19">
        <f t="shared" si="0"/>
        <v>155313</v>
      </c>
      <c r="F22" s="19">
        <f t="shared" si="1"/>
        <v>45757.276839999999</v>
      </c>
      <c r="G22" s="19">
        <f t="shared" si="2"/>
        <v>201070</v>
      </c>
      <c r="H22" s="19">
        <v>201758</v>
      </c>
      <c r="I22" s="19">
        <f t="shared" si="3"/>
        <v>-688</v>
      </c>
      <c r="K22" s="2">
        <v>155313</v>
      </c>
    </row>
    <row r="23" spans="1:11" x14ac:dyDescent="0.25">
      <c r="A23" s="28" t="s">
        <v>58</v>
      </c>
      <c r="B23" s="29" t="s">
        <v>57</v>
      </c>
      <c r="C23" s="112" t="s">
        <v>554</v>
      </c>
      <c r="D23" s="19">
        <v>1288</v>
      </c>
      <c r="E23" s="19">
        <f t="shared" si="0"/>
        <v>817774</v>
      </c>
      <c r="F23" s="19">
        <f t="shared" si="1"/>
        <v>108736.84976</v>
      </c>
      <c r="G23" s="19">
        <f t="shared" si="2"/>
        <v>926511</v>
      </c>
      <c r="H23" s="19">
        <v>929503</v>
      </c>
      <c r="I23" s="19">
        <f t="shared" si="3"/>
        <v>-2992</v>
      </c>
      <c r="K23" s="2">
        <v>817774</v>
      </c>
    </row>
    <row r="24" spans="1:11" x14ac:dyDescent="0.25">
      <c r="A24" s="28" t="s">
        <v>58</v>
      </c>
      <c r="B24" s="29" t="s">
        <v>426</v>
      </c>
      <c r="C24" s="112" t="s">
        <v>554</v>
      </c>
      <c r="D24" s="19">
        <v>298</v>
      </c>
      <c r="E24" s="19">
        <f t="shared" si="0"/>
        <v>97536</v>
      </c>
      <c r="F24" s="19">
        <f t="shared" si="1"/>
        <v>25158.059959999999</v>
      </c>
      <c r="G24" s="19">
        <f t="shared" si="2"/>
        <v>122694</v>
      </c>
      <c r="H24" s="19">
        <v>121844</v>
      </c>
      <c r="I24" s="19">
        <f t="shared" si="3"/>
        <v>850</v>
      </c>
      <c r="K24" s="2">
        <v>97536</v>
      </c>
    </row>
    <row r="25" spans="1:11" x14ac:dyDescent="0.25">
      <c r="A25" s="28" t="s">
        <v>58</v>
      </c>
      <c r="B25" s="29" t="s">
        <v>59</v>
      </c>
      <c r="C25" s="112" t="s">
        <v>554</v>
      </c>
      <c r="D25" s="19">
        <v>2133</v>
      </c>
      <c r="E25" s="19">
        <f t="shared" si="0"/>
        <v>898436</v>
      </c>
      <c r="F25" s="19">
        <f t="shared" si="1"/>
        <v>180074.30166</v>
      </c>
      <c r="G25" s="19">
        <f t="shared" si="2"/>
        <v>1078510</v>
      </c>
      <c r="H25" s="19">
        <v>1093766</v>
      </c>
      <c r="I25" s="19">
        <f t="shared" si="3"/>
        <v>-15256</v>
      </c>
      <c r="K25" s="2">
        <v>898436</v>
      </c>
    </row>
    <row r="26" spans="1:11" x14ac:dyDescent="0.25">
      <c r="A26" s="28" t="s">
        <v>58</v>
      </c>
      <c r="B26" s="29" t="s">
        <v>62</v>
      </c>
      <c r="C26" s="112" t="s">
        <v>554</v>
      </c>
      <c r="D26" s="19">
        <v>156</v>
      </c>
      <c r="E26" s="19">
        <f t="shared" si="0"/>
        <v>38502</v>
      </c>
      <c r="F26" s="19">
        <f t="shared" si="1"/>
        <v>13169.991119999999</v>
      </c>
      <c r="G26" s="19">
        <f t="shared" si="2"/>
        <v>51672</v>
      </c>
      <c r="H26" s="19">
        <v>52826</v>
      </c>
      <c r="I26" s="19">
        <f t="shared" si="3"/>
        <v>-1154</v>
      </c>
      <c r="K26" s="2">
        <v>38502</v>
      </c>
    </row>
    <row r="27" spans="1:11" x14ac:dyDescent="0.25">
      <c r="A27" s="28" t="s">
        <v>58</v>
      </c>
      <c r="B27" s="29" t="s">
        <v>61</v>
      </c>
      <c r="C27" s="112" t="s">
        <v>554</v>
      </c>
      <c r="D27" s="19">
        <v>419</v>
      </c>
      <c r="E27" s="19">
        <f t="shared" si="0"/>
        <v>191245</v>
      </c>
      <c r="F27" s="19">
        <f t="shared" si="1"/>
        <v>35373.24538</v>
      </c>
      <c r="G27" s="19">
        <f t="shared" si="2"/>
        <v>226618</v>
      </c>
      <c r="H27" s="19">
        <v>229009</v>
      </c>
      <c r="I27" s="19">
        <f t="shared" si="3"/>
        <v>-2391</v>
      </c>
      <c r="K27" s="2">
        <v>191245</v>
      </c>
    </row>
    <row r="28" spans="1:11" x14ac:dyDescent="0.25">
      <c r="A28" s="28" t="s">
        <v>58</v>
      </c>
      <c r="B28" s="29" t="s">
        <v>64</v>
      </c>
      <c r="C28" s="112" t="s">
        <v>554</v>
      </c>
      <c r="D28" s="19">
        <v>195</v>
      </c>
      <c r="E28" s="19">
        <f t="shared" si="0"/>
        <v>60893</v>
      </c>
      <c r="F28" s="19">
        <f t="shared" si="1"/>
        <v>16462.4889</v>
      </c>
      <c r="G28" s="19">
        <f t="shared" si="2"/>
        <v>77355</v>
      </c>
      <c r="H28" s="19">
        <v>80166</v>
      </c>
      <c r="I28" s="19">
        <f t="shared" si="3"/>
        <v>-2811</v>
      </c>
      <c r="K28" s="2">
        <v>60893</v>
      </c>
    </row>
    <row r="29" spans="1:11" x14ac:dyDescent="0.25">
      <c r="A29" s="28" t="s">
        <v>55</v>
      </c>
      <c r="B29" s="29" t="s">
        <v>409</v>
      </c>
      <c r="C29" s="112" t="s">
        <v>554</v>
      </c>
      <c r="D29" s="19">
        <v>612</v>
      </c>
      <c r="E29" s="19">
        <f t="shared" si="0"/>
        <v>125625</v>
      </c>
      <c r="F29" s="19">
        <f t="shared" si="1"/>
        <v>51666.888239999993</v>
      </c>
      <c r="G29" s="19">
        <f t="shared" si="2"/>
        <v>177292</v>
      </c>
      <c r="H29" s="19">
        <v>177539</v>
      </c>
      <c r="I29" s="19">
        <f t="shared" si="3"/>
        <v>-247</v>
      </c>
      <c r="K29" s="2">
        <v>125625</v>
      </c>
    </row>
    <row r="30" spans="1:11" x14ac:dyDescent="0.25">
      <c r="A30" s="28" t="s">
        <v>55</v>
      </c>
      <c r="B30" s="29" t="s">
        <v>593</v>
      </c>
      <c r="C30" s="112" t="s">
        <v>554</v>
      </c>
      <c r="D30" s="19">
        <v>183</v>
      </c>
      <c r="E30" s="19">
        <f t="shared" si="0"/>
        <v>70648</v>
      </c>
      <c r="F30" s="19">
        <f t="shared" si="1"/>
        <v>15449.412659999998</v>
      </c>
      <c r="G30" s="19">
        <f t="shared" si="2"/>
        <v>86097</v>
      </c>
      <c r="H30" s="19">
        <v>85233</v>
      </c>
      <c r="I30" s="19">
        <f t="shared" si="3"/>
        <v>864</v>
      </c>
      <c r="K30" s="2">
        <v>70648</v>
      </c>
    </row>
    <row r="31" spans="1:11" x14ac:dyDescent="0.25">
      <c r="A31" s="28" t="s">
        <v>55</v>
      </c>
      <c r="B31" s="29" t="s">
        <v>397</v>
      </c>
      <c r="C31" s="112" t="s">
        <v>554</v>
      </c>
      <c r="D31" s="19">
        <v>484</v>
      </c>
      <c r="E31" s="19">
        <f t="shared" si="0"/>
        <v>90680</v>
      </c>
      <c r="F31" s="19">
        <f t="shared" si="1"/>
        <v>40860.741679999999</v>
      </c>
      <c r="G31" s="19">
        <f t="shared" si="2"/>
        <v>131541</v>
      </c>
      <c r="H31" s="19">
        <v>130701</v>
      </c>
      <c r="I31" s="19">
        <f t="shared" si="3"/>
        <v>840</v>
      </c>
      <c r="K31" s="2">
        <v>90680</v>
      </c>
    </row>
    <row r="32" spans="1:11" x14ac:dyDescent="0.25">
      <c r="A32" s="28" t="s">
        <v>52</v>
      </c>
      <c r="B32" s="29" t="s">
        <v>594</v>
      </c>
      <c r="C32" s="112" t="s">
        <v>554</v>
      </c>
      <c r="D32" s="19">
        <v>464</v>
      </c>
      <c r="E32" s="19">
        <f t="shared" si="0"/>
        <v>120406</v>
      </c>
      <c r="F32" s="19">
        <f t="shared" si="1"/>
        <v>39172.281279999996</v>
      </c>
      <c r="G32" s="19">
        <f t="shared" si="2"/>
        <v>159578</v>
      </c>
      <c r="H32" s="19">
        <v>158344</v>
      </c>
      <c r="I32" s="19">
        <f t="shared" si="3"/>
        <v>1234</v>
      </c>
      <c r="K32" s="2">
        <v>120406</v>
      </c>
    </row>
    <row r="33" spans="1:11" x14ac:dyDescent="0.25">
      <c r="A33" s="28" t="s">
        <v>52</v>
      </c>
      <c r="B33" s="29" t="s">
        <v>51</v>
      </c>
      <c r="C33" s="112" t="s">
        <v>554</v>
      </c>
      <c r="D33" s="19">
        <v>477</v>
      </c>
      <c r="E33" s="19">
        <f t="shared" si="0"/>
        <v>121160</v>
      </c>
      <c r="F33" s="19">
        <f t="shared" si="1"/>
        <v>40269.78054</v>
      </c>
      <c r="G33" s="19">
        <f t="shared" si="2"/>
        <v>161430</v>
      </c>
      <c r="H33" s="19">
        <v>161441</v>
      </c>
      <c r="I33" s="19">
        <f t="shared" si="3"/>
        <v>-11</v>
      </c>
      <c r="K33" s="2">
        <v>121160</v>
      </c>
    </row>
    <row r="34" spans="1:11" x14ac:dyDescent="0.25">
      <c r="A34" s="28" t="s">
        <v>52</v>
      </c>
      <c r="B34" s="29" t="s">
        <v>370</v>
      </c>
      <c r="C34" s="112" t="s">
        <v>554</v>
      </c>
      <c r="D34" s="19">
        <v>480</v>
      </c>
      <c r="E34" s="19">
        <f t="shared" si="0"/>
        <v>87922</v>
      </c>
      <c r="F34" s="19">
        <f t="shared" si="1"/>
        <v>40523.049599999998</v>
      </c>
      <c r="G34" s="19">
        <f t="shared" si="2"/>
        <v>128445</v>
      </c>
      <c r="H34" s="19">
        <v>128117</v>
      </c>
      <c r="I34" s="19">
        <f t="shared" si="3"/>
        <v>328</v>
      </c>
      <c r="K34" s="2">
        <v>87922</v>
      </c>
    </row>
    <row r="35" spans="1:11" x14ac:dyDescent="0.25">
      <c r="A35" s="28" t="s">
        <v>47</v>
      </c>
      <c r="B35" s="29" t="s">
        <v>48</v>
      </c>
      <c r="C35" s="112" t="s">
        <v>554</v>
      </c>
      <c r="D35" s="19">
        <v>608</v>
      </c>
      <c r="E35" s="19">
        <f t="shared" si="0"/>
        <v>97329</v>
      </c>
      <c r="F35" s="19">
        <f t="shared" si="1"/>
        <v>51329.19616</v>
      </c>
      <c r="G35" s="19">
        <f t="shared" si="2"/>
        <v>148658</v>
      </c>
      <c r="H35" s="19">
        <v>146552</v>
      </c>
      <c r="I35" s="19">
        <f t="shared" si="3"/>
        <v>2106</v>
      </c>
      <c r="K35" s="2">
        <v>97329</v>
      </c>
    </row>
    <row r="36" spans="1:11" x14ac:dyDescent="0.25">
      <c r="A36" s="28" t="s">
        <v>47</v>
      </c>
      <c r="B36" s="29" t="s">
        <v>353</v>
      </c>
      <c r="C36" s="112" t="s">
        <v>554</v>
      </c>
      <c r="D36" s="19">
        <v>367</v>
      </c>
      <c r="E36" s="19">
        <f t="shared" si="0"/>
        <v>36197</v>
      </c>
      <c r="F36" s="19">
        <f t="shared" si="1"/>
        <v>30983.248339999998</v>
      </c>
      <c r="G36" s="19">
        <f t="shared" si="2"/>
        <v>67180</v>
      </c>
      <c r="H36" s="19">
        <v>67623</v>
      </c>
      <c r="I36" s="19">
        <f t="shared" si="3"/>
        <v>-443</v>
      </c>
      <c r="K36" s="2">
        <v>36197</v>
      </c>
    </row>
    <row r="37" spans="1:11" x14ac:dyDescent="0.25">
      <c r="A37" s="28" t="s">
        <v>47</v>
      </c>
      <c r="B37" s="29" t="s">
        <v>349</v>
      </c>
      <c r="C37" s="112" t="s">
        <v>554</v>
      </c>
      <c r="D37" s="19">
        <v>10</v>
      </c>
      <c r="E37" s="19">
        <f t="shared" si="0"/>
        <v>0</v>
      </c>
      <c r="F37" s="19">
        <f t="shared" si="1"/>
        <v>844.23019999999997</v>
      </c>
      <c r="G37" s="19">
        <f t="shared" si="2"/>
        <v>844</v>
      </c>
      <c r="H37" s="19">
        <v>955</v>
      </c>
      <c r="I37" s="19">
        <f t="shared" si="3"/>
        <v>-111</v>
      </c>
      <c r="K37" s="2">
        <v>0</v>
      </c>
    </row>
    <row r="38" spans="1:11" x14ac:dyDescent="0.25">
      <c r="A38" s="28" t="s">
        <v>38</v>
      </c>
      <c r="B38" s="29" t="s">
        <v>344</v>
      </c>
      <c r="C38" s="112" t="s">
        <v>554</v>
      </c>
      <c r="D38" s="19">
        <v>205</v>
      </c>
      <c r="E38" s="19">
        <f t="shared" si="0"/>
        <v>65523</v>
      </c>
      <c r="F38" s="19">
        <f t="shared" si="1"/>
        <v>17306.719099999998</v>
      </c>
      <c r="G38" s="19">
        <f t="shared" si="2"/>
        <v>82830</v>
      </c>
      <c r="H38" s="19">
        <v>82799</v>
      </c>
      <c r="I38" s="19">
        <f t="shared" si="3"/>
        <v>31</v>
      </c>
      <c r="K38" s="2">
        <v>65523</v>
      </c>
    </row>
    <row r="39" spans="1:11" x14ac:dyDescent="0.25">
      <c r="A39" s="28" t="s">
        <v>38</v>
      </c>
      <c r="B39" s="29" t="s">
        <v>342</v>
      </c>
      <c r="C39" s="112" t="s">
        <v>554</v>
      </c>
      <c r="D39" s="19">
        <v>254</v>
      </c>
      <c r="E39" s="19">
        <f t="shared" si="0"/>
        <v>27496</v>
      </c>
      <c r="F39" s="19">
        <f t="shared" si="1"/>
        <v>21443.447079999998</v>
      </c>
      <c r="G39" s="19">
        <f t="shared" si="2"/>
        <v>48939</v>
      </c>
      <c r="H39" s="19">
        <v>47463</v>
      </c>
      <c r="I39" s="19">
        <f t="shared" si="3"/>
        <v>1476</v>
      </c>
      <c r="K39" s="2">
        <v>27496</v>
      </c>
    </row>
    <row r="40" spans="1:11" x14ac:dyDescent="0.25">
      <c r="A40" s="28" t="s">
        <v>38</v>
      </c>
      <c r="B40" s="29" t="s">
        <v>336</v>
      </c>
      <c r="C40" s="112" t="s">
        <v>554</v>
      </c>
      <c r="D40" s="19">
        <v>291</v>
      </c>
      <c r="E40" s="19">
        <f t="shared" si="0"/>
        <v>35249</v>
      </c>
      <c r="F40" s="19">
        <f t="shared" si="1"/>
        <v>24567.098819999999</v>
      </c>
      <c r="G40" s="19">
        <f t="shared" si="2"/>
        <v>59816</v>
      </c>
      <c r="H40" s="19">
        <v>59210</v>
      </c>
      <c r="I40" s="19">
        <f t="shared" si="3"/>
        <v>606</v>
      </c>
      <c r="K40" s="2">
        <v>35249</v>
      </c>
    </row>
    <row r="41" spans="1:11" x14ac:dyDescent="0.25">
      <c r="A41" s="28" t="s">
        <v>38</v>
      </c>
      <c r="B41" s="29" t="s">
        <v>37</v>
      </c>
      <c r="C41" s="112" t="s">
        <v>554</v>
      </c>
      <c r="D41" s="19">
        <v>867</v>
      </c>
      <c r="E41" s="19">
        <f t="shared" si="0"/>
        <v>68056</v>
      </c>
      <c r="F41" s="19">
        <f t="shared" si="1"/>
        <v>73194.75834</v>
      </c>
      <c r="G41" s="19">
        <f t="shared" si="2"/>
        <v>141251</v>
      </c>
      <c r="H41" s="19">
        <v>136899</v>
      </c>
      <c r="I41" s="19">
        <f t="shared" si="3"/>
        <v>4352</v>
      </c>
      <c r="K41" s="2">
        <v>68056</v>
      </c>
    </row>
    <row r="42" spans="1:11" x14ac:dyDescent="0.25">
      <c r="A42" s="28" t="s">
        <v>38</v>
      </c>
      <c r="B42" s="29" t="s">
        <v>328</v>
      </c>
      <c r="C42" s="112" t="s">
        <v>554</v>
      </c>
      <c r="D42" s="19">
        <v>510</v>
      </c>
      <c r="E42" s="19">
        <f t="shared" si="0"/>
        <v>84340</v>
      </c>
      <c r="F42" s="19">
        <f t="shared" si="1"/>
        <v>43055.7402</v>
      </c>
      <c r="G42" s="19">
        <f t="shared" si="2"/>
        <v>127396</v>
      </c>
      <c r="H42" s="19">
        <v>128094</v>
      </c>
      <c r="I42" s="19">
        <f t="shared" si="3"/>
        <v>-698</v>
      </c>
      <c r="K42" s="2">
        <v>84340</v>
      </c>
    </row>
    <row r="43" spans="1:11" x14ac:dyDescent="0.25">
      <c r="A43" s="28" t="s">
        <v>38</v>
      </c>
      <c r="B43" s="29" t="s">
        <v>324</v>
      </c>
      <c r="C43" s="112" t="s">
        <v>554</v>
      </c>
      <c r="D43" s="19">
        <v>353</v>
      </c>
      <c r="E43" s="19">
        <f t="shared" si="0"/>
        <v>55949</v>
      </c>
      <c r="F43" s="19">
        <f t="shared" si="1"/>
        <v>29801.326059999999</v>
      </c>
      <c r="G43" s="19">
        <f t="shared" si="2"/>
        <v>85750</v>
      </c>
      <c r="H43" s="19">
        <v>86941</v>
      </c>
      <c r="I43" s="19">
        <f t="shared" si="3"/>
        <v>-1191</v>
      </c>
      <c r="K43" s="2">
        <v>55949</v>
      </c>
    </row>
    <row r="44" spans="1:11" x14ac:dyDescent="0.25">
      <c r="A44" s="28" t="s">
        <v>38</v>
      </c>
      <c r="B44" s="29" t="s">
        <v>322</v>
      </c>
      <c r="C44" s="112" t="s">
        <v>554</v>
      </c>
      <c r="D44" s="19">
        <v>239</v>
      </c>
      <c r="E44" s="19">
        <f t="shared" si="0"/>
        <v>74664</v>
      </c>
      <c r="F44" s="19">
        <f t="shared" si="1"/>
        <v>20177.101779999997</v>
      </c>
      <c r="G44" s="19">
        <f t="shared" si="2"/>
        <v>94841</v>
      </c>
      <c r="H44" s="19">
        <v>93503</v>
      </c>
      <c r="I44" s="19">
        <f t="shared" si="3"/>
        <v>1338</v>
      </c>
      <c r="K44" s="2">
        <v>74664</v>
      </c>
    </row>
    <row r="45" spans="1:11" x14ac:dyDescent="0.25">
      <c r="A45" s="28" t="s">
        <v>38</v>
      </c>
      <c r="B45" s="29" t="s">
        <v>320</v>
      </c>
      <c r="C45" s="112" t="s">
        <v>554</v>
      </c>
      <c r="D45" s="19">
        <v>285</v>
      </c>
      <c r="E45" s="19">
        <f t="shared" si="0"/>
        <v>75568</v>
      </c>
      <c r="F45" s="19">
        <f t="shared" si="1"/>
        <v>24060.560699999998</v>
      </c>
      <c r="G45" s="19">
        <f t="shared" si="2"/>
        <v>99629</v>
      </c>
      <c r="H45" s="19">
        <v>99615</v>
      </c>
      <c r="I45" s="19">
        <f t="shared" si="3"/>
        <v>14</v>
      </c>
      <c r="K45" s="2">
        <v>75568</v>
      </c>
    </row>
    <row r="46" spans="1:11" x14ac:dyDescent="0.25">
      <c r="A46" s="28" t="s">
        <v>35</v>
      </c>
      <c r="B46" s="29" t="s">
        <v>316</v>
      </c>
      <c r="C46" s="112" t="s">
        <v>554</v>
      </c>
      <c r="D46" s="19">
        <v>211</v>
      </c>
      <c r="E46" s="19">
        <f t="shared" si="0"/>
        <v>30212</v>
      </c>
      <c r="F46" s="19">
        <f t="shared" si="1"/>
        <v>17813.25722</v>
      </c>
      <c r="G46" s="19">
        <f t="shared" si="2"/>
        <v>48025</v>
      </c>
      <c r="H46" s="19">
        <v>47314</v>
      </c>
      <c r="I46" s="19">
        <f t="shared" si="3"/>
        <v>711</v>
      </c>
      <c r="K46" s="2">
        <v>30212</v>
      </c>
    </row>
    <row r="47" spans="1:11" x14ac:dyDescent="0.25">
      <c r="A47" s="28" t="s">
        <v>35</v>
      </c>
      <c r="B47" s="29" t="s">
        <v>304</v>
      </c>
      <c r="C47" s="112" t="s">
        <v>554</v>
      </c>
      <c r="D47" s="19">
        <v>645</v>
      </c>
      <c r="E47" s="19">
        <f t="shared" si="0"/>
        <v>152277</v>
      </c>
      <c r="F47" s="19">
        <f t="shared" si="1"/>
        <v>54452.847899999993</v>
      </c>
      <c r="G47" s="19">
        <f t="shared" si="2"/>
        <v>206730</v>
      </c>
      <c r="H47" s="19">
        <v>207577</v>
      </c>
      <c r="I47" s="19">
        <f t="shared" si="3"/>
        <v>-847</v>
      </c>
      <c r="K47" s="2">
        <v>152277</v>
      </c>
    </row>
    <row r="48" spans="1:11" x14ac:dyDescent="0.25">
      <c r="A48" s="28" t="s">
        <v>35</v>
      </c>
      <c r="B48" s="29" t="s">
        <v>302</v>
      </c>
      <c r="C48" s="112" t="s">
        <v>554</v>
      </c>
      <c r="D48" s="19">
        <v>233</v>
      </c>
      <c r="E48" s="19">
        <f t="shared" si="0"/>
        <v>32770</v>
      </c>
      <c r="F48" s="19">
        <f t="shared" si="1"/>
        <v>19670.56366</v>
      </c>
      <c r="G48" s="19">
        <f t="shared" si="2"/>
        <v>52441</v>
      </c>
      <c r="H48" s="19">
        <v>50046</v>
      </c>
      <c r="I48" s="19">
        <f t="shared" si="3"/>
        <v>2395</v>
      </c>
      <c r="K48" s="2">
        <v>32770</v>
      </c>
    </row>
    <row r="49" spans="1:11" x14ac:dyDescent="0.25">
      <c r="A49" s="28" t="s">
        <v>28</v>
      </c>
      <c r="B49" s="29" t="s">
        <v>283</v>
      </c>
      <c r="C49" s="112" t="s">
        <v>554</v>
      </c>
      <c r="D49" s="19">
        <v>214</v>
      </c>
      <c r="E49" s="19">
        <f t="shared" si="0"/>
        <v>27011</v>
      </c>
      <c r="F49" s="19">
        <f t="shared" si="1"/>
        <v>18066.526279999998</v>
      </c>
      <c r="G49" s="19">
        <f t="shared" si="2"/>
        <v>45078</v>
      </c>
      <c r="H49" s="19">
        <v>44547</v>
      </c>
      <c r="I49" s="19">
        <f t="shared" si="3"/>
        <v>531</v>
      </c>
      <c r="K49" s="2">
        <v>27011</v>
      </c>
    </row>
    <row r="50" spans="1:11" x14ac:dyDescent="0.25">
      <c r="A50" s="28" t="s">
        <v>28</v>
      </c>
      <c r="B50" s="29" t="s">
        <v>281</v>
      </c>
      <c r="C50" s="112" t="s">
        <v>554</v>
      </c>
      <c r="D50" s="19">
        <v>12</v>
      </c>
      <c r="E50" s="19">
        <f t="shared" si="0"/>
        <v>2871</v>
      </c>
      <c r="F50" s="19">
        <f t="shared" si="1"/>
        <v>1013.0762399999999</v>
      </c>
      <c r="G50" s="19">
        <f t="shared" si="2"/>
        <v>3884</v>
      </c>
      <c r="H50" s="19">
        <v>4347</v>
      </c>
      <c r="I50" s="19">
        <f t="shared" si="3"/>
        <v>-463</v>
      </c>
      <c r="K50" s="2">
        <v>2871</v>
      </c>
    </row>
    <row r="51" spans="1:11" x14ac:dyDescent="0.25">
      <c r="A51" s="28" t="s">
        <v>28</v>
      </c>
      <c r="B51" s="29" t="s">
        <v>595</v>
      </c>
      <c r="C51" s="112" t="s">
        <v>554</v>
      </c>
      <c r="D51" s="19">
        <v>184</v>
      </c>
      <c r="E51" s="19">
        <f t="shared" si="0"/>
        <v>69698</v>
      </c>
      <c r="F51" s="19">
        <f t="shared" si="1"/>
        <v>15533.835679999998</v>
      </c>
      <c r="G51" s="19">
        <f t="shared" si="2"/>
        <v>85232</v>
      </c>
      <c r="H51" s="19">
        <v>85498</v>
      </c>
      <c r="I51" s="19">
        <f t="shared" si="3"/>
        <v>-266</v>
      </c>
      <c r="K51" s="2">
        <v>69698</v>
      </c>
    </row>
    <row r="52" spans="1:11" x14ac:dyDescent="0.25">
      <c r="A52" s="28" t="s">
        <v>28</v>
      </c>
      <c r="B52" s="29" t="s">
        <v>596</v>
      </c>
      <c r="C52" s="112" t="s">
        <v>554</v>
      </c>
      <c r="D52" s="19">
        <v>398</v>
      </c>
      <c r="E52" s="19">
        <f t="shared" si="0"/>
        <v>113915</v>
      </c>
      <c r="F52" s="19">
        <f t="shared" si="1"/>
        <v>33600.361959999995</v>
      </c>
      <c r="G52" s="19">
        <f t="shared" si="2"/>
        <v>147515</v>
      </c>
      <c r="H52" s="19">
        <v>144734</v>
      </c>
      <c r="I52" s="19">
        <f t="shared" si="3"/>
        <v>2781</v>
      </c>
      <c r="K52" s="2">
        <v>113915</v>
      </c>
    </row>
    <row r="53" spans="1:11" x14ac:dyDescent="0.25">
      <c r="A53" s="28" t="s">
        <v>28</v>
      </c>
      <c r="B53" s="29" t="s">
        <v>30</v>
      </c>
      <c r="C53" s="112" t="s">
        <v>554</v>
      </c>
      <c r="D53" s="19">
        <v>2713</v>
      </c>
      <c r="E53" s="19">
        <f t="shared" si="0"/>
        <v>544564</v>
      </c>
      <c r="F53" s="19">
        <f t="shared" si="1"/>
        <v>229039.65325999999</v>
      </c>
      <c r="G53" s="19">
        <f t="shared" si="2"/>
        <v>773604</v>
      </c>
      <c r="H53" s="19">
        <v>778266</v>
      </c>
      <c r="I53" s="19">
        <f t="shared" si="3"/>
        <v>-4662</v>
      </c>
      <c r="K53" s="2">
        <v>544564</v>
      </c>
    </row>
    <row r="54" spans="1:11" x14ac:dyDescent="0.25">
      <c r="A54" s="28" t="s">
        <v>28</v>
      </c>
      <c r="B54" s="29" t="s">
        <v>275</v>
      </c>
      <c r="C54" s="112" t="s">
        <v>554</v>
      </c>
      <c r="D54" s="19">
        <v>178</v>
      </c>
      <c r="E54" s="19">
        <f t="shared" si="0"/>
        <v>36575</v>
      </c>
      <c r="F54" s="19">
        <f t="shared" si="1"/>
        <v>15027.297559999999</v>
      </c>
      <c r="G54" s="19">
        <f t="shared" si="2"/>
        <v>51602</v>
      </c>
      <c r="H54" s="19">
        <v>50812</v>
      </c>
      <c r="I54" s="19">
        <f t="shared" si="3"/>
        <v>790</v>
      </c>
      <c r="K54" s="2">
        <v>36575</v>
      </c>
    </row>
    <row r="55" spans="1:11" x14ac:dyDescent="0.25">
      <c r="A55" s="28" t="s">
        <v>28</v>
      </c>
      <c r="B55" s="29" t="s">
        <v>265</v>
      </c>
      <c r="C55" s="112" t="s">
        <v>554</v>
      </c>
      <c r="D55" s="19">
        <v>764</v>
      </c>
      <c r="E55" s="19">
        <f t="shared" si="0"/>
        <v>123864</v>
      </c>
      <c r="F55" s="19">
        <f t="shared" si="1"/>
        <v>64499.187279999998</v>
      </c>
      <c r="G55" s="19">
        <f t="shared" si="2"/>
        <v>188363</v>
      </c>
      <c r="H55" s="19">
        <v>187498</v>
      </c>
      <c r="I55" s="19">
        <f t="shared" si="3"/>
        <v>865</v>
      </c>
      <c r="K55" s="2">
        <v>123864</v>
      </c>
    </row>
    <row r="56" spans="1:11" x14ac:dyDescent="0.25">
      <c r="A56" s="28" t="s">
        <v>24</v>
      </c>
      <c r="B56" s="29" t="s">
        <v>249</v>
      </c>
      <c r="C56" s="112" t="s">
        <v>554</v>
      </c>
      <c r="D56" s="19">
        <v>286</v>
      </c>
      <c r="E56" s="19">
        <f t="shared" si="0"/>
        <v>71850</v>
      </c>
      <c r="F56" s="19">
        <f t="shared" si="1"/>
        <v>24144.983719999997</v>
      </c>
      <c r="G56" s="19">
        <f t="shared" si="2"/>
        <v>95995</v>
      </c>
      <c r="H56" s="19">
        <v>96505</v>
      </c>
      <c r="I56" s="19">
        <f t="shared" si="3"/>
        <v>-510</v>
      </c>
      <c r="K56" s="2">
        <v>71850</v>
      </c>
    </row>
    <row r="57" spans="1:11" x14ac:dyDescent="0.25">
      <c r="A57" s="28" t="s">
        <v>24</v>
      </c>
      <c r="B57" s="29" t="s">
        <v>247</v>
      </c>
      <c r="C57" s="112" t="s">
        <v>554</v>
      </c>
      <c r="D57" s="19">
        <v>474</v>
      </c>
      <c r="E57" s="19">
        <f t="shared" si="0"/>
        <v>76773</v>
      </c>
      <c r="F57" s="19">
        <f t="shared" si="1"/>
        <v>40016.511479999994</v>
      </c>
      <c r="G57" s="19">
        <f t="shared" si="2"/>
        <v>116790</v>
      </c>
      <c r="H57" s="19">
        <v>111325</v>
      </c>
      <c r="I57" s="19">
        <f t="shared" si="3"/>
        <v>5465</v>
      </c>
      <c r="K57" s="2">
        <v>76773</v>
      </c>
    </row>
    <row r="58" spans="1:11" x14ac:dyDescent="0.25">
      <c r="A58" s="28" t="s">
        <v>24</v>
      </c>
      <c r="B58" s="29" t="s">
        <v>243</v>
      </c>
      <c r="C58" s="112" t="s">
        <v>554</v>
      </c>
      <c r="D58" s="19">
        <v>316</v>
      </c>
      <c r="E58" s="19">
        <f t="shared" si="0"/>
        <v>89726</v>
      </c>
      <c r="F58" s="19">
        <f t="shared" si="1"/>
        <v>26677.674319999998</v>
      </c>
      <c r="G58" s="19">
        <f t="shared" si="2"/>
        <v>116404</v>
      </c>
      <c r="H58" s="19">
        <v>115076</v>
      </c>
      <c r="I58" s="19">
        <f t="shared" si="3"/>
        <v>1328</v>
      </c>
      <c r="K58" s="2">
        <v>89726</v>
      </c>
    </row>
    <row r="59" spans="1:11" x14ac:dyDescent="0.25">
      <c r="A59" s="28" t="s">
        <v>24</v>
      </c>
      <c r="B59" s="29" t="s">
        <v>239</v>
      </c>
      <c r="C59" s="112" t="s">
        <v>554</v>
      </c>
      <c r="D59" s="19">
        <v>712</v>
      </c>
      <c r="E59" s="19">
        <f t="shared" si="0"/>
        <v>104368</v>
      </c>
      <c r="F59" s="19">
        <f t="shared" si="1"/>
        <v>60109.190239999996</v>
      </c>
      <c r="G59" s="19">
        <f t="shared" si="2"/>
        <v>164477</v>
      </c>
      <c r="H59" s="19">
        <v>163575</v>
      </c>
      <c r="I59" s="19">
        <f t="shared" si="3"/>
        <v>902</v>
      </c>
      <c r="K59" s="2">
        <v>104368</v>
      </c>
    </row>
    <row r="60" spans="1:11" x14ac:dyDescent="0.25">
      <c r="A60" s="28" t="s">
        <v>20</v>
      </c>
      <c r="B60" s="29" t="s">
        <v>225</v>
      </c>
      <c r="C60" s="112" t="s">
        <v>554</v>
      </c>
      <c r="D60" s="19">
        <v>63</v>
      </c>
      <c r="E60" s="19">
        <f t="shared" si="0"/>
        <v>10211</v>
      </c>
      <c r="F60" s="19">
        <f t="shared" si="1"/>
        <v>5318.6502599999994</v>
      </c>
      <c r="G60" s="19">
        <f t="shared" si="2"/>
        <v>15530</v>
      </c>
      <c r="H60" s="19">
        <v>15767</v>
      </c>
      <c r="I60" s="19">
        <f t="shared" si="3"/>
        <v>-237</v>
      </c>
      <c r="K60" s="2">
        <v>10211</v>
      </c>
    </row>
    <row r="61" spans="1:11" x14ac:dyDescent="0.25">
      <c r="A61" s="32" t="s">
        <v>20</v>
      </c>
      <c r="B61" s="29" t="s">
        <v>215</v>
      </c>
      <c r="C61" s="112" t="s">
        <v>554</v>
      </c>
      <c r="D61" s="19"/>
      <c r="E61" s="19">
        <f t="shared" si="0"/>
        <v>0</v>
      </c>
      <c r="F61" s="19">
        <f t="shared" si="1"/>
        <v>0</v>
      </c>
      <c r="G61" s="19">
        <f t="shared" si="2"/>
        <v>0</v>
      </c>
      <c r="H61" s="19">
        <v>0</v>
      </c>
      <c r="I61" s="19">
        <f t="shared" si="3"/>
        <v>0</v>
      </c>
      <c r="K61" s="2">
        <v>0</v>
      </c>
    </row>
    <row r="62" spans="1:11" x14ac:dyDescent="0.25">
      <c r="A62" s="32" t="s">
        <v>20</v>
      </c>
      <c r="B62" s="29" t="s">
        <v>597</v>
      </c>
      <c r="C62" s="112" t="s">
        <v>554</v>
      </c>
      <c r="D62" s="19">
        <v>1552</v>
      </c>
      <c r="E62" s="19">
        <f t="shared" si="0"/>
        <v>374472</v>
      </c>
      <c r="F62" s="19">
        <f t="shared" si="1"/>
        <v>131024.52703999999</v>
      </c>
      <c r="G62" s="19">
        <f t="shared" si="2"/>
        <v>505497</v>
      </c>
      <c r="H62" s="19">
        <v>503390</v>
      </c>
      <c r="I62" s="19">
        <f t="shared" si="3"/>
        <v>2107</v>
      </c>
      <c r="K62" s="2">
        <v>374472</v>
      </c>
    </row>
    <row r="63" spans="1:11" x14ac:dyDescent="0.25">
      <c r="A63" s="28" t="s">
        <v>13</v>
      </c>
      <c r="B63" s="29" t="s">
        <v>598</v>
      </c>
      <c r="C63" s="112" t="s">
        <v>554</v>
      </c>
      <c r="D63" s="19">
        <v>791</v>
      </c>
      <c r="E63" s="19">
        <f t="shared" si="0"/>
        <v>204703</v>
      </c>
      <c r="F63" s="19">
        <f t="shared" si="1"/>
        <v>66778.608819999994</v>
      </c>
      <c r="G63" s="19">
        <f t="shared" si="2"/>
        <v>271482</v>
      </c>
      <c r="H63" s="19">
        <v>269205</v>
      </c>
      <c r="I63" s="19">
        <f t="shared" si="3"/>
        <v>2277</v>
      </c>
      <c r="K63" s="2">
        <v>204703</v>
      </c>
    </row>
    <row r="64" spans="1:11" x14ac:dyDescent="0.25">
      <c r="A64" s="28" t="s">
        <v>13</v>
      </c>
      <c r="B64" s="29" t="s">
        <v>198</v>
      </c>
      <c r="C64" s="112" t="s">
        <v>554</v>
      </c>
      <c r="D64" s="19">
        <v>995</v>
      </c>
      <c r="E64" s="19">
        <f t="shared" si="0"/>
        <v>25859</v>
      </c>
      <c r="F64" s="19">
        <f t="shared" si="1"/>
        <v>84000.904899999994</v>
      </c>
      <c r="G64" s="19">
        <f t="shared" si="2"/>
        <v>109860</v>
      </c>
      <c r="H64" s="19">
        <v>107377</v>
      </c>
      <c r="I64" s="19">
        <f t="shared" si="3"/>
        <v>2483</v>
      </c>
      <c r="K64" s="2">
        <v>25859</v>
      </c>
    </row>
    <row r="65" spans="1:11" x14ac:dyDescent="0.25">
      <c r="A65" s="28" t="s">
        <v>13</v>
      </c>
      <c r="B65" s="29" t="s">
        <v>599</v>
      </c>
      <c r="C65" s="112" t="s">
        <v>554</v>
      </c>
      <c r="D65" s="19">
        <v>457</v>
      </c>
      <c r="E65" s="19">
        <f t="shared" si="0"/>
        <v>30222</v>
      </c>
      <c r="F65" s="19">
        <f t="shared" si="1"/>
        <v>38581.320139999996</v>
      </c>
      <c r="G65" s="19">
        <f t="shared" si="2"/>
        <v>68803</v>
      </c>
      <c r="H65" s="19">
        <v>64774</v>
      </c>
      <c r="I65" s="19">
        <f t="shared" si="3"/>
        <v>4029</v>
      </c>
      <c r="K65" s="2">
        <v>30222</v>
      </c>
    </row>
    <row r="66" spans="1:11" x14ac:dyDescent="0.25">
      <c r="A66" s="28" t="s">
        <v>13</v>
      </c>
      <c r="B66" s="29" t="s">
        <v>192</v>
      </c>
      <c r="C66" s="112" t="s">
        <v>554</v>
      </c>
      <c r="D66" s="19">
        <v>406</v>
      </c>
      <c r="E66" s="19">
        <f t="shared" si="0"/>
        <v>31436</v>
      </c>
      <c r="F66" s="19">
        <f t="shared" si="1"/>
        <v>34275.746119999996</v>
      </c>
      <c r="G66" s="19">
        <f t="shared" si="2"/>
        <v>65712</v>
      </c>
      <c r="H66" s="19">
        <v>63470</v>
      </c>
      <c r="I66" s="19">
        <f t="shared" si="3"/>
        <v>2242</v>
      </c>
      <c r="K66" s="2">
        <v>31436</v>
      </c>
    </row>
    <row r="67" spans="1:11" x14ac:dyDescent="0.25">
      <c r="A67" s="28" t="s">
        <v>13</v>
      </c>
      <c r="B67" s="29" t="s">
        <v>186</v>
      </c>
      <c r="C67" s="112" t="s">
        <v>554</v>
      </c>
      <c r="D67" s="19">
        <v>290</v>
      </c>
      <c r="E67" s="19">
        <f t="shared" si="0"/>
        <v>32991</v>
      </c>
      <c r="F67" s="19">
        <f t="shared" si="1"/>
        <v>24482.675799999997</v>
      </c>
      <c r="G67" s="19">
        <f t="shared" si="2"/>
        <v>57474</v>
      </c>
      <c r="H67" s="19">
        <v>56865</v>
      </c>
      <c r="I67" s="19">
        <f t="shared" si="3"/>
        <v>609</v>
      </c>
      <c r="K67" s="2">
        <v>32991</v>
      </c>
    </row>
    <row r="68" spans="1:11" x14ac:dyDescent="0.25">
      <c r="A68" s="28" t="s">
        <v>13</v>
      </c>
      <c r="B68" s="29" t="s">
        <v>184</v>
      </c>
      <c r="C68" s="112" t="s">
        <v>554</v>
      </c>
      <c r="D68" s="19">
        <v>237</v>
      </c>
      <c r="E68" s="19">
        <f t="shared" si="0"/>
        <v>67304</v>
      </c>
      <c r="F68" s="19">
        <f t="shared" si="1"/>
        <v>20008.255739999997</v>
      </c>
      <c r="G68" s="19">
        <f t="shared" si="2"/>
        <v>87312</v>
      </c>
      <c r="H68" s="19">
        <v>86750</v>
      </c>
      <c r="I68" s="19">
        <f t="shared" si="3"/>
        <v>562</v>
      </c>
      <c r="K68" s="2">
        <v>67304</v>
      </c>
    </row>
    <row r="69" spans="1:11" x14ac:dyDescent="0.25">
      <c r="A69" s="28" t="s">
        <v>13</v>
      </c>
      <c r="B69" s="29" t="s">
        <v>174</v>
      </c>
      <c r="C69" s="112" t="s">
        <v>554</v>
      </c>
      <c r="D69" s="19">
        <v>983</v>
      </c>
      <c r="E69" s="19">
        <f t="shared" ref="E69:E82" si="4">IF($C69="jah",K69,0)</f>
        <v>102368</v>
      </c>
      <c r="F69" s="19">
        <f t="shared" ref="F69:F82" si="5">IF($C69="jah",D69*F$86,0)</f>
        <v>82987.828659999999</v>
      </c>
      <c r="G69" s="19">
        <f t="shared" ref="G69:G82" si="6">ROUND(E69+F69,0)</f>
        <v>185356</v>
      </c>
      <c r="H69" s="19">
        <v>180327</v>
      </c>
      <c r="I69" s="19">
        <f t="shared" si="3"/>
        <v>5029</v>
      </c>
      <c r="K69" s="2">
        <v>102368</v>
      </c>
    </row>
    <row r="70" spans="1:11" x14ac:dyDescent="0.25">
      <c r="A70" s="28" t="s">
        <v>13</v>
      </c>
      <c r="B70" s="29" t="s">
        <v>15</v>
      </c>
      <c r="C70" s="112" t="s">
        <v>554</v>
      </c>
      <c r="D70" s="19">
        <v>5199</v>
      </c>
      <c r="E70" s="19">
        <f t="shared" si="4"/>
        <v>918015</v>
      </c>
      <c r="F70" s="19">
        <f t="shared" si="5"/>
        <v>438915.28097999998</v>
      </c>
      <c r="G70" s="19">
        <f t="shared" si="6"/>
        <v>1356930</v>
      </c>
      <c r="H70" s="19">
        <v>1357725</v>
      </c>
      <c r="I70" s="19">
        <f t="shared" ref="I70:I82" si="7">G70-H70</f>
        <v>-795</v>
      </c>
      <c r="K70" s="2">
        <v>918015</v>
      </c>
    </row>
    <row r="71" spans="1:11" x14ac:dyDescent="0.25">
      <c r="A71" s="28" t="s">
        <v>10</v>
      </c>
      <c r="B71" s="29" t="s">
        <v>154</v>
      </c>
      <c r="C71" s="112" t="s">
        <v>554</v>
      </c>
      <c r="D71" s="19">
        <v>304</v>
      </c>
      <c r="E71" s="19">
        <f t="shared" si="4"/>
        <v>18793</v>
      </c>
      <c r="F71" s="19">
        <f t="shared" si="5"/>
        <v>25664.59808</v>
      </c>
      <c r="G71" s="19">
        <f t="shared" si="6"/>
        <v>44458</v>
      </c>
      <c r="H71" s="19">
        <v>43622</v>
      </c>
      <c r="I71" s="19">
        <f t="shared" si="7"/>
        <v>836</v>
      </c>
      <c r="K71" s="2">
        <v>18793</v>
      </c>
    </row>
    <row r="72" spans="1:11" x14ac:dyDescent="0.25">
      <c r="A72" s="28" t="s">
        <v>10</v>
      </c>
      <c r="B72" s="29" t="s">
        <v>600</v>
      </c>
      <c r="C72" s="112" t="s">
        <v>554</v>
      </c>
      <c r="D72" s="19">
        <v>279</v>
      </c>
      <c r="E72" s="19">
        <f t="shared" si="4"/>
        <v>59363</v>
      </c>
      <c r="F72" s="19">
        <f t="shared" si="5"/>
        <v>23554.022579999997</v>
      </c>
      <c r="G72" s="19">
        <f t="shared" si="6"/>
        <v>82917</v>
      </c>
      <c r="H72" s="19">
        <v>82455</v>
      </c>
      <c r="I72" s="19">
        <f t="shared" si="7"/>
        <v>462</v>
      </c>
      <c r="K72" s="2">
        <v>59363</v>
      </c>
    </row>
    <row r="73" spans="1:11" x14ac:dyDescent="0.25">
      <c r="A73" s="28" t="s">
        <v>10</v>
      </c>
      <c r="B73" s="29" t="s">
        <v>601</v>
      </c>
      <c r="C73" s="112" t="s">
        <v>554</v>
      </c>
      <c r="D73" s="19">
        <v>563</v>
      </c>
      <c r="E73" s="19">
        <f t="shared" si="4"/>
        <v>77780</v>
      </c>
      <c r="F73" s="19">
        <f t="shared" si="5"/>
        <v>47530.160259999997</v>
      </c>
      <c r="G73" s="19">
        <f t="shared" si="6"/>
        <v>125310</v>
      </c>
      <c r="H73" s="19">
        <v>126830</v>
      </c>
      <c r="I73" s="19">
        <f t="shared" si="7"/>
        <v>-1520</v>
      </c>
      <c r="K73" s="2">
        <v>77780</v>
      </c>
    </row>
    <row r="74" spans="1:11" x14ac:dyDescent="0.25">
      <c r="A74" s="28" t="s">
        <v>6</v>
      </c>
      <c r="B74" s="29" t="s">
        <v>602</v>
      </c>
      <c r="C74" s="112" t="s">
        <v>554</v>
      </c>
      <c r="D74" s="19">
        <v>302</v>
      </c>
      <c r="E74" s="19">
        <f t="shared" si="4"/>
        <v>44516</v>
      </c>
      <c r="F74" s="19">
        <f t="shared" si="5"/>
        <v>25495.752039999999</v>
      </c>
      <c r="G74" s="19">
        <f t="shared" si="6"/>
        <v>70012</v>
      </c>
      <c r="H74" s="19">
        <v>71775</v>
      </c>
      <c r="I74" s="19">
        <f t="shared" si="7"/>
        <v>-1763</v>
      </c>
      <c r="K74" s="2">
        <v>44516</v>
      </c>
    </row>
    <row r="75" spans="1:11" x14ac:dyDescent="0.25">
      <c r="A75" s="28" t="s">
        <v>6</v>
      </c>
      <c r="B75" s="29" t="s">
        <v>603</v>
      </c>
      <c r="C75" s="112" t="s">
        <v>554</v>
      </c>
      <c r="D75" s="19">
        <v>371</v>
      </c>
      <c r="E75" s="19">
        <f t="shared" si="4"/>
        <v>93258</v>
      </c>
      <c r="F75" s="19">
        <f t="shared" si="5"/>
        <v>31320.940419999999</v>
      </c>
      <c r="G75" s="19">
        <f t="shared" si="6"/>
        <v>124579</v>
      </c>
      <c r="H75" s="19">
        <v>123816</v>
      </c>
      <c r="I75" s="19">
        <f t="shared" si="7"/>
        <v>763</v>
      </c>
      <c r="K75" s="2">
        <v>93258</v>
      </c>
    </row>
    <row r="76" spans="1:11" x14ac:dyDescent="0.25">
      <c r="A76" s="28" t="s">
        <v>6</v>
      </c>
      <c r="B76" s="29" t="s">
        <v>117</v>
      </c>
      <c r="C76" s="112" t="s">
        <v>554</v>
      </c>
      <c r="D76" s="19">
        <v>657</v>
      </c>
      <c r="E76" s="19">
        <f t="shared" si="4"/>
        <v>103358</v>
      </c>
      <c r="F76" s="19">
        <f t="shared" si="5"/>
        <v>55465.924139999996</v>
      </c>
      <c r="G76" s="19">
        <f t="shared" si="6"/>
        <v>158824</v>
      </c>
      <c r="H76" s="19">
        <v>157616</v>
      </c>
      <c r="I76" s="19">
        <f t="shared" si="7"/>
        <v>1208</v>
      </c>
      <c r="K76" s="2">
        <v>103358</v>
      </c>
    </row>
    <row r="77" spans="1:11" x14ac:dyDescent="0.25">
      <c r="A77" s="28" t="s">
        <v>6</v>
      </c>
      <c r="B77" s="29" t="s">
        <v>5</v>
      </c>
      <c r="C77" s="112" t="s">
        <v>554</v>
      </c>
      <c r="D77" s="19">
        <v>910</v>
      </c>
      <c r="E77" s="19">
        <f t="shared" si="4"/>
        <v>231589</v>
      </c>
      <c r="F77" s="19">
        <f t="shared" si="5"/>
        <v>76824.948199999999</v>
      </c>
      <c r="G77" s="19">
        <f t="shared" si="6"/>
        <v>308414</v>
      </c>
      <c r="H77" s="19">
        <v>311805</v>
      </c>
      <c r="I77" s="19">
        <f t="shared" si="7"/>
        <v>-3391</v>
      </c>
      <c r="K77" s="2">
        <v>231589</v>
      </c>
    </row>
    <row r="78" spans="1:11" x14ac:dyDescent="0.25">
      <c r="A78" s="28" t="s">
        <v>1</v>
      </c>
      <c r="B78" s="29" t="s">
        <v>114</v>
      </c>
      <c r="C78" s="112" t="s">
        <v>554</v>
      </c>
      <c r="D78" s="19">
        <v>169</v>
      </c>
      <c r="E78" s="19">
        <f t="shared" si="4"/>
        <v>22919</v>
      </c>
      <c r="F78" s="19">
        <f t="shared" si="5"/>
        <v>14267.490379999999</v>
      </c>
      <c r="G78" s="19">
        <f t="shared" si="6"/>
        <v>37186</v>
      </c>
      <c r="H78" s="19">
        <v>36636</v>
      </c>
      <c r="I78" s="19">
        <f t="shared" si="7"/>
        <v>550</v>
      </c>
      <c r="K78" s="2">
        <v>22919</v>
      </c>
    </row>
    <row r="79" spans="1:11" x14ac:dyDescent="0.25">
      <c r="A79" s="28" t="s">
        <v>1</v>
      </c>
      <c r="B79" s="29" t="s">
        <v>102</v>
      </c>
      <c r="C79" s="112" t="s">
        <v>554</v>
      </c>
      <c r="D79" s="19">
        <v>184</v>
      </c>
      <c r="E79" s="19">
        <f t="shared" si="4"/>
        <v>34193</v>
      </c>
      <c r="F79" s="19">
        <f t="shared" si="5"/>
        <v>15533.835679999998</v>
      </c>
      <c r="G79" s="19">
        <f t="shared" si="6"/>
        <v>49727</v>
      </c>
      <c r="H79" s="19">
        <v>49299</v>
      </c>
      <c r="I79" s="19">
        <f t="shared" si="7"/>
        <v>428</v>
      </c>
      <c r="K79" s="2">
        <v>34193</v>
      </c>
    </row>
    <row r="80" spans="1:11" x14ac:dyDescent="0.25">
      <c r="A80" s="28" t="s">
        <v>1</v>
      </c>
      <c r="B80" s="29" t="s">
        <v>604</v>
      </c>
      <c r="C80" s="112" t="s">
        <v>554</v>
      </c>
      <c r="D80" s="19">
        <v>122</v>
      </c>
      <c r="E80" s="19">
        <f t="shared" si="4"/>
        <v>5423</v>
      </c>
      <c r="F80" s="19">
        <f t="shared" si="5"/>
        <v>10299.60844</v>
      </c>
      <c r="G80" s="19">
        <f t="shared" si="6"/>
        <v>15723</v>
      </c>
      <c r="H80" s="19">
        <v>14712</v>
      </c>
      <c r="I80" s="19">
        <f t="shared" si="7"/>
        <v>1011</v>
      </c>
      <c r="K80" s="2">
        <v>5423</v>
      </c>
    </row>
    <row r="81" spans="1:11" x14ac:dyDescent="0.25">
      <c r="A81" s="28" t="s">
        <v>1</v>
      </c>
      <c r="B81" s="29" t="s">
        <v>92</v>
      </c>
      <c r="C81" s="112" t="s">
        <v>554</v>
      </c>
      <c r="D81" s="19">
        <v>474</v>
      </c>
      <c r="E81" s="19">
        <f t="shared" si="4"/>
        <v>116864</v>
      </c>
      <c r="F81" s="19">
        <f t="shared" si="5"/>
        <v>40016.511479999994</v>
      </c>
      <c r="G81" s="19">
        <f t="shared" si="6"/>
        <v>156881</v>
      </c>
      <c r="H81" s="19">
        <v>157493</v>
      </c>
      <c r="I81" s="19">
        <f t="shared" si="7"/>
        <v>-612</v>
      </c>
      <c r="K81" s="2">
        <v>116864</v>
      </c>
    </row>
    <row r="82" spans="1:11" x14ac:dyDescent="0.25">
      <c r="A82" s="28" t="s">
        <v>1</v>
      </c>
      <c r="B82" s="29" t="s">
        <v>0</v>
      </c>
      <c r="C82" s="112" t="s">
        <v>554</v>
      </c>
      <c r="D82" s="19">
        <v>657</v>
      </c>
      <c r="E82" s="19">
        <f t="shared" si="4"/>
        <v>226305</v>
      </c>
      <c r="F82" s="19">
        <f t="shared" si="5"/>
        <v>55465.924139999996</v>
      </c>
      <c r="G82" s="19">
        <f t="shared" si="6"/>
        <v>281771</v>
      </c>
      <c r="H82" s="19">
        <v>281518</v>
      </c>
      <c r="I82" s="19">
        <f t="shared" si="7"/>
        <v>253</v>
      </c>
      <c r="K82" s="2">
        <v>226305</v>
      </c>
    </row>
    <row r="83" spans="1:11" x14ac:dyDescent="0.25">
      <c r="A83" s="204" t="s">
        <v>512</v>
      </c>
      <c r="B83" s="204"/>
      <c r="C83" s="46"/>
      <c r="D83" s="46">
        <f>SUM(D4:D82)</f>
        <v>68712</v>
      </c>
      <c r="E83" s="46">
        <f t="shared" ref="E83:I83" si="8">SUM(E4:E82)</f>
        <v>9199123</v>
      </c>
      <c r="F83" s="46">
        <f t="shared" si="8"/>
        <v>5800874.5502399988</v>
      </c>
      <c r="G83" s="46">
        <f t="shared" si="8"/>
        <v>15000000</v>
      </c>
      <c r="H83" s="46">
        <f t="shared" si="8"/>
        <v>15000000</v>
      </c>
      <c r="I83" s="46">
        <f t="shared" si="8"/>
        <v>0</v>
      </c>
      <c r="K83" s="2">
        <f>SUM(K4:K82)</f>
        <v>9199123</v>
      </c>
    </row>
    <row r="84" spans="1:11" x14ac:dyDescent="0.25">
      <c r="B84" s="115" t="s">
        <v>728</v>
      </c>
      <c r="C84">
        <f>1749*90%</f>
        <v>1574.1000000000001</v>
      </c>
      <c r="F84" s="47" t="s">
        <v>775</v>
      </c>
      <c r="G84" s="2">
        <v>15000000</v>
      </c>
    </row>
    <row r="85" spans="1:11" x14ac:dyDescent="0.25">
      <c r="G85" s="21">
        <f>G84-G83</f>
        <v>0</v>
      </c>
    </row>
    <row r="86" spans="1:11" x14ac:dyDescent="0.25">
      <c r="E86" t="s">
        <v>588</v>
      </c>
      <c r="F86" s="110">
        <v>84.423019999999994</v>
      </c>
    </row>
    <row r="87" spans="1:11" x14ac:dyDescent="0.25">
      <c r="B87" s="115" t="s">
        <v>831</v>
      </c>
      <c r="C87">
        <f>COUNTIF(C4:C82,"jah")</f>
        <v>79</v>
      </c>
    </row>
  </sheetData>
  <mergeCells count="11">
    <mergeCell ref="A83:B83"/>
    <mergeCell ref="E1:G1"/>
    <mergeCell ref="H1:H3"/>
    <mergeCell ref="I1:I3"/>
    <mergeCell ref="C1:C3"/>
    <mergeCell ref="E2:E3"/>
    <mergeCell ref="F2:F3"/>
    <mergeCell ref="G2:G3"/>
    <mergeCell ref="A1:A3"/>
    <mergeCell ref="B1:B3"/>
    <mergeCell ref="D1:D3"/>
  </mergeCells>
  <dataValidations count="1">
    <dataValidation type="list" allowBlank="1" showInputMessage="1" showErrorMessage="1" sqref="C4:C82" xr:uid="{EE4BF223-3717-4681-A27B-F2969ED44FCF}">
      <formula1>$K$1:$K$2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7"/>
  <sheetViews>
    <sheetView workbookViewId="0">
      <pane xSplit="2" ySplit="3" topLeftCell="C64" activePane="bottomRight" state="frozen"/>
      <selection pane="topRight" activeCell="D1" sqref="D1"/>
      <selection pane="bottomLeft" activeCell="A4" sqref="A4"/>
      <selection pane="bottomRight" activeCell="N91" sqref="N91"/>
    </sheetView>
  </sheetViews>
  <sheetFormatPr defaultRowHeight="13.2" x14ac:dyDescent="0.25"/>
  <cols>
    <col min="1" max="1" width="9.5546875" style="27" bestFit="1" customWidth="1"/>
    <col min="2" max="2" width="19.44140625" style="27" bestFit="1" customWidth="1"/>
    <col min="3" max="3" width="10.109375" bestFit="1" customWidth="1"/>
    <col min="4" max="6" width="10.109375" customWidth="1"/>
    <col min="9" max="9" width="9.88671875" bestFit="1" customWidth="1"/>
    <col min="10" max="10" width="9.109375" bestFit="1" customWidth="1"/>
    <col min="11" max="11" width="18.5546875" customWidth="1"/>
    <col min="12" max="12" width="16.5546875" customWidth="1"/>
    <col min="13" max="13" width="9.6640625" customWidth="1"/>
    <col min="14" max="14" width="17.33203125" customWidth="1"/>
    <col min="15" max="15" width="10" customWidth="1"/>
    <col min="16" max="16" width="18.88671875" customWidth="1"/>
    <col min="17" max="17" width="10.6640625" bestFit="1" customWidth="1"/>
    <col min="18" max="18" width="17.5546875" customWidth="1"/>
    <col min="19" max="19" width="9.6640625" bestFit="1" customWidth="1"/>
  </cols>
  <sheetData>
    <row r="1" spans="1:19" ht="12.75" customHeight="1" x14ac:dyDescent="0.25">
      <c r="A1" s="186" t="s">
        <v>511</v>
      </c>
      <c r="B1" s="186" t="s">
        <v>510</v>
      </c>
      <c r="C1" s="190" t="s">
        <v>533</v>
      </c>
      <c r="D1" s="223"/>
      <c r="E1" s="224"/>
      <c r="F1" s="225"/>
      <c r="G1" s="190" t="s">
        <v>535</v>
      </c>
      <c r="H1" s="230"/>
      <c r="I1" s="224"/>
      <c r="J1" s="225"/>
      <c r="K1" s="219" t="s">
        <v>781</v>
      </c>
      <c r="L1" s="186" t="s">
        <v>823</v>
      </c>
      <c r="M1" s="186" t="s">
        <v>784</v>
      </c>
      <c r="N1" s="184" t="s">
        <v>782</v>
      </c>
      <c r="O1" s="184" t="s">
        <v>783</v>
      </c>
      <c r="P1" s="217" t="s">
        <v>752</v>
      </c>
      <c r="Q1" s="217" t="s">
        <v>534</v>
      </c>
      <c r="R1" s="217" t="s">
        <v>753</v>
      </c>
      <c r="S1" s="217" t="s">
        <v>534</v>
      </c>
    </row>
    <row r="2" spans="1:19" ht="12.75" customHeight="1" x14ac:dyDescent="0.25">
      <c r="A2" s="186"/>
      <c r="B2" s="186"/>
      <c r="C2" s="226"/>
      <c r="D2" s="227"/>
      <c r="E2" s="228"/>
      <c r="F2" s="229"/>
      <c r="G2" s="226"/>
      <c r="H2" s="227"/>
      <c r="I2" s="228"/>
      <c r="J2" s="229"/>
      <c r="K2" s="220"/>
      <c r="L2" s="222"/>
      <c r="M2" s="222"/>
      <c r="N2" s="221"/>
      <c r="O2" s="221"/>
      <c r="P2" s="218"/>
      <c r="Q2" s="218"/>
      <c r="R2" s="218"/>
      <c r="S2" s="218"/>
    </row>
    <row r="3" spans="1:19" ht="29.25" customHeight="1" x14ac:dyDescent="0.25">
      <c r="A3" s="186"/>
      <c r="B3" s="186"/>
      <c r="C3" s="138">
        <v>2019</v>
      </c>
      <c r="D3" s="121">
        <v>2020</v>
      </c>
      <c r="E3" s="121">
        <v>2021</v>
      </c>
      <c r="F3" s="121">
        <v>2022</v>
      </c>
      <c r="G3" s="138">
        <v>2019</v>
      </c>
      <c r="H3" s="138">
        <v>2020</v>
      </c>
      <c r="I3" s="121">
        <v>2021</v>
      </c>
      <c r="J3" s="121">
        <v>2022</v>
      </c>
      <c r="K3" s="220"/>
      <c r="L3" s="222"/>
      <c r="M3" s="222"/>
      <c r="N3" s="221"/>
      <c r="O3" s="221"/>
      <c r="P3" s="218"/>
      <c r="Q3" s="218"/>
      <c r="R3" s="218"/>
      <c r="S3" s="218"/>
    </row>
    <row r="4" spans="1:19" x14ac:dyDescent="0.25">
      <c r="A4" s="28" t="s">
        <v>69</v>
      </c>
      <c r="B4" s="29" t="s">
        <v>490</v>
      </c>
      <c r="C4" s="19">
        <v>52012.92</v>
      </c>
      <c r="D4" s="19">
        <v>59789.3</v>
      </c>
      <c r="E4" s="19">
        <v>60659.65</v>
      </c>
      <c r="F4" s="19">
        <v>279008.88</v>
      </c>
      <c r="G4" s="19">
        <v>12932.690000000002</v>
      </c>
      <c r="H4" s="19">
        <v>-5171.6100000000006</v>
      </c>
      <c r="I4" s="19">
        <v>5871.739999999998</v>
      </c>
      <c r="J4" s="19">
        <f>I4+P4-F4</f>
        <v>22633.859999999986</v>
      </c>
      <c r="K4" s="19">
        <f>ROUND(IF(F4*K$87-J4&lt;0,0,F4*K$87-J4),0)</f>
        <v>228474</v>
      </c>
      <c r="L4" s="19">
        <v>924</v>
      </c>
      <c r="M4" s="19">
        <v>457</v>
      </c>
      <c r="N4" s="19">
        <f>ROUND((L4-M4)*N$87,0)</f>
        <v>3021</v>
      </c>
      <c r="O4" s="19">
        <f t="shared" ref="O4:O35" si="0">N4+K4</f>
        <v>231495</v>
      </c>
      <c r="P4" s="19">
        <v>295771</v>
      </c>
      <c r="Q4" s="19">
        <f t="shared" ref="Q4:Q35" si="1">K4-P4</f>
        <v>-67297</v>
      </c>
      <c r="R4" s="19">
        <v>4360</v>
      </c>
      <c r="S4" s="19">
        <f t="shared" ref="S4:S35" si="2">N4-R4</f>
        <v>-1339</v>
      </c>
    </row>
    <row r="5" spans="1:19" x14ac:dyDescent="0.25">
      <c r="A5" s="28" t="s">
        <v>69</v>
      </c>
      <c r="B5" s="29" t="s">
        <v>488</v>
      </c>
      <c r="C5" s="19">
        <v>41170.03</v>
      </c>
      <c r="D5" s="19">
        <v>32718.82</v>
      </c>
      <c r="E5" s="19">
        <v>18574.689999999999</v>
      </c>
      <c r="F5" s="19">
        <v>101084.2</v>
      </c>
      <c r="G5" s="19">
        <v>12404.400000000001</v>
      </c>
      <c r="H5" s="19">
        <v>8451.5800000000017</v>
      </c>
      <c r="I5" s="19">
        <v>14143.890000000003</v>
      </c>
      <c r="J5" s="19">
        <f t="shared" ref="J5:J68" si="3">I5+P5-F5</f>
        <v>7802.6900000000023</v>
      </c>
      <c r="K5" s="19">
        <f t="shared" ref="K5:K68" si="4">ROUND(IF(F5*K$87-J5&lt;0,0,F5*K$87-J5),0)</f>
        <v>83173</v>
      </c>
      <c r="L5" s="19">
        <v>303</v>
      </c>
      <c r="M5" s="19">
        <v>161</v>
      </c>
      <c r="N5" s="19">
        <f t="shared" ref="N5:N68" si="5">ROUND((L5-M5)*N$87,0)</f>
        <v>919</v>
      </c>
      <c r="O5" s="19">
        <f t="shared" si="0"/>
        <v>84092</v>
      </c>
      <c r="P5" s="19">
        <v>94743</v>
      </c>
      <c r="Q5" s="19">
        <f t="shared" si="1"/>
        <v>-11570</v>
      </c>
      <c r="R5" s="19">
        <v>1437</v>
      </c>
      <c r="S5" s="19">
        <f t="shared" si="2"/>
        <v>-518</v>
      </c>
    </row>
    <row r="6" spans="1:19" x14ac:dyDescent="0.25">
      <c r="A6" s="28" t="s">
        <v>69</v>
      </c>
      <c r="B6" s="29" t="s">
        <v>486</v>
      </c>
      <c r="C6" s="19">
        <v>14104.92</v>
      </c>
      <c r="D6" s="19">
        <v>18730.79</v>
      </c>
      <c r="E6" s="19">
        <v>21267.37</v>
      </c>
      <c r="F6" s="19">
        <v>71745.679999999993</v>
      </c>
      <c r="G6" s="19">
        <v>3993.5399999999991</v>
      </c>
      <c r="H6" s="19">
        <v>3693.75</v>
      </c>
      <c r="I6" s="19">
        <v>-2536.619999999999</v>
      </c>
      <c r="J6" s="19">
        <f t="shared" si="3"/>
        <v>2915.7000000000116</v>
      </c>
      <c r="K6" s="19">
        <f t="shared" si="4"/>
        <v>61655</v>
      </c>
      <c r="L6" s="19">
        <v>274</v>
      </c>
      <c r="M6" s="19">
        <v>104</v>
      </c>
      <c r="N6" s="19">
        <f t="shared" si="5"/>
        <v>1100</v>
      </c>
      <c r="O6" s="19">
        <f t="shared" si="0"/>
        <v>62755</v>
      </c>
      <c r="P6" s="19">
        <v>77198</v>
      </c>
      <c r="Q6" s="19">
        <f t="shared" si="1"/>
        <v>-15543</v>
      </c>
      <c r="R6" s="19">
        <v>1343</v>
      </c>
      <c r="S6" s="19">
        <f t="shared" si="2"/>
        <v>-243</v>
      </c>
    </row>
    <row r="7" spans="1:19" x14ac:dyDescent="0.25">
      <c r="A7" s="28" t="s">
        <v>69</v>
      </c>
      <c r="B7" s="29" t="s">
        <v>81</v>
      </c>
      <c r="C7" s="19">
        <v>27550.39</v>
      </c>
      <c r="D7" s="19">
        <v>36240.410000000003</v>
      </c>
      <c r="E7" s="19">
        <v>57349.599999999999</v>
      </c>
      <c r="F7" s="19">
        <v>268132.88</v>
      </c>
      <c r="G7" s="19">
        <v>5933.7599999999948</v>
      </c>
      <c r="H7" s="19">
        <v>-4738.6500000000087</v>
      </c>
      <c r="I7" s="19">
        <v>3589.7499999999927</v>
      </c>
      <c r="J7" s="19">
        <f t="shared" si="3"/>
        <v>9074.8699999999953</v>
      </c>
      <c r="K7" s="19">
        <f t="shared" si="4"/>
        <v>232245</v>
      </c>
      <c r="L7" s="19">
        <v>819</v>
      </c>
      <c r="M7" s="19">
        <v>385</v>
      </c>
      <c r="N7" s="19">
        <f t="shared" si="5"/>
        <v>2808</v>
      </c>
      <c r="O7" s="19">
        <f t="shared" si="0"/>
        <v>235053</v>
      </c>
      <c r="P7" s="19">
        <v>273618</v>
      </c>
      <c r="Q7" s="19">
        <f t="shared" si="1"/>
        <v>-41373</v>
      </c>
      <c r="R7" s="19">
        <v>3814</v>
      </c>
      <c r="S7" s="19">
        <f t="shared" si="2"/>
        <v>-1006</v>
      </c>
    </row>
    <row r="8" spans="1:19" x14ac:dyDescent="0.25">
      <c r="A8" s="28" t="s">
        <v>69</v>
      </c>
      <c r="B8" s="29" t="s">
        <v>480</v>
      </c>
      <c r="C8" s="19">
        <v>3811.79</v>
      </c>
      <c r="D8" s="19">
        <v>2139.6999999999998</v>
      </c>
      <c r="E8" s="19">
        <v>2807.98</v>
      </c>
      <c r="F8" s="19">
        <v>35363.370000000003</v>
      </c>
      <c r="G8" s="19">
        <v>1767.79</v>
      </c>
      <c r="H8" s="19">
        <v>1672.0900000000001</v>
      </c>
      <c r="I8" s="19">
        <v>-63.889999999999873</v>
      </c>
      <c r="J8" s="19">
        <f t="shared" si="3"/>
        <v>7727.739999999998</v>
      </c>
      <c r="K8" s="19">
        <f t="shared" si="4"/>
        <v>24099</v>
      </c>
      <c r="L8" s="19">
        <v>84</v>
      </c>
      <c r="M8" s="19">
        <v>52</v>
      </c>
      <c r="N8" s="19">
        <f t="shared" si="5"/>
        <v>207</v>
      </c>
      <c r="O8" s="19">
        <f t="shared" si="0"/>
        <v>24306</v>
      </c>
      <c r="P8" s="19">
        <v>43155</v>
      </c>
      <c r="Q8" s="19">
        <f t="shared" si="1"/>
        <v>-19056</v>
      </c>
      <c r="R8" s="19">
        <v>398</v>
      </c>
      <c r="S8" s="19">
        <f t="shared" si="2"/>
        <v>-191</v>
      </c>
    </row>
    <row r="9" spans="1:19" x14ac:dyDescent="0.25">
      <c r="A9" s="28" t="s">
        <v>69</v>
      </c>
      <c r="B9" s="29" t="s">
        <v>478</v>
      </c>
      <c r="C9" s="19">
        <v>56772.62</v>
      </c>
      <c r="D9" s="19">
        <v>67012.539999999994</v>
      </c>
      <c r="E9" s="19">
        <v>92735.76</v>
      </c>
      <c r="F9" s="19">
        <v>298205.53999999998</v>
      </c>
      <c r="G9" s="19">
        <v>11180.68</v>
      </c>
      <c r="H9" s="19">
        <v>-7873.8599999999933</v>
      </c>
      <c r="I9" s="19">
        <v>7298.3800000000192</v>
      </c>
      <c r="J9" s="19">
        <f t="shared" si="3"/>
        <v>7464.8400000000256</v>
      </c>
      <c r="K9" s="19">
        <f t="shared" si="4"/>
        <v>260920</v>
      </c>
      <c r="L9" s="19">
        <v>824</v>
      </c>
      <c r="M9" s="19">
        <v>329</v>
      </c>
      <c r="N9" s="19">
        <f t="shared" si="5"/>
        <v>3203</v>
      </c>
      <c r="O9" s="19">
        <f t="shared" si="0"/>
        <v>264123</v>
      </c>
      <c r="P9" s="19">
        <v>298372</v>
      </c>
      <c r="Q9" s="19">
        <f t="shared" si="1"/>
        <v>-37452</v>
      </c>
      <c r="R9" s="19">
        <v>3985</v>
      </c>
      <c r="S9" s="19">
        <f t="shared" si="2"/>
        <v>-782</v>
      </c>
    </row>
    <row r="10" spans="1:19" x14ac:dyDescent="0.25">
      <c r="A10" s="28" t="s">
        <v>69</v>
      </c>
      <c r="B10" s="29" t="s">
        <v>476</v>
      </c>
      <c r="C10" s="19">
        <v>30517.18</v>
      </c>
      <c r="D10" s="19">
        <v>28692.6</v>
      </c>
      <c r="E10" s="19">
        <v>15696.09</v>
      </c>
      <c r="F10" s="19">
        <v>46107.15</v>
      </c>
      <c r="G10" s="19">
        <v>11509.080000000002</v>
      </c>
      <c r="H10" s="19">
        <v>2430.4800000000032</v>
      </c>
      <c r="I10" s="19">
        <v>12996.390000000003</v>
      </c>
      <c r="J10" s="19">
        <f t="shared" si="3"/>
        <v>6214.239999999998</v>
      </c>
      <c r="K10" s="19">
        <f t="shared" si="4"/>
        <v>35282</v>
      </c>
      <c r="L10" s="19">
        <v>135</v>
      </c>
      <c r="M10" s="19">
        <v>40</v>
      </c>
      <c r="N10" s="19">
        <f t="shared" si="5"/>
        <v>615</v>
      </c>
      <c r="O10" s="19">
        <f t="shared" si="0"/>
        <v>35897</v>
      </c>
      <c r="P10" s="19">
        <v>39325</v>
      </c>
      <c r="Q10" s="19">
        <f t="shared" si="1"/>
        <v>-4043</v>
      </c>
      <c r="R10" s="19">
        <v>743</v>
      </c>
      <c r="S10" s="19">
        <f t="shared" si="2"/>
        <v>-128</v>
      </c>
    </row>
    <row r="11" spans="1:19" x14ac:dyDescent="0.25">
      <c r="A11" s="28" t="s">
        <v>69</v>
      </c>
      <c r="B11" s="29" t="s">
        <v>83</v>
      </c>
      <c r="C11" s="19">
        <v>166663.56</v>
      </c>
      <c r="D11" s="19">
        <v>199373.45</v>
      </c>
      <c r="E11" s="19">
        <v>182470</v>
      </c>
      <c r="F11" s="19">
        <v>303997.49</v>
      </c>
      <c r="G11" s="19">
        <v>24079.76999999999</v>
      </c>
      <c r="H11" s="19">
        <v>5766.3199999999779</v>
      </c>
      <c r="I11" s="19">
        <v>16903.319999999978</v>
      </c>
      <c r="J11" s="19">
        <f t="shared" si="3"/>
        <v>11092.829999999958</v>
      </c>
      <c r="K11" s="19">
        <f t="shared" si="4"/>
        <v>262505</v>
      </c>
      <c r="L11" s="19">
        <v>839</v>
      </c>
      <c r="M11" s="19">
        <v>138</v>
      </c>
      <c r="N11" s="19">
        <f t="shared" si="5"/>
        <v>4535</v>
      </c>
      <c r="O11" s="19">
        <f t="shared" si="0"/>
        <v>267040</v>
      </c>
      <c r="P11" s="19">
        <v>298187</v>
      </c>
      <c r="Q11" s="19">
        <f t="shared" si="1"/>
        <v>-35682</v>
      </c>
      <c r="R11" s="19">
        <v>4616</v>
      </c>
      <c r="S11" s="19">
        <f t="shared" si="2"/>
        <v>-81</v>
      </c>
    </row>
    <row r="12" spans="1:19" x14ac:dyDescent="0.25">
      <c r="A12" s="28" t="s">
        <v>69</v>
      </c>
      <c r="B12" s="29" t="s">
        <v>605</v>
      </c>
      <c r="C12" s="19">
        <v>480631.54</v>
      </c>
      <c r="D12" s="19">
        <v>489991.1</v>
      </c>
      <c r="E12" s="19">
        <v>475741</v>
      </c>
      <c r="F12" s="19">
        <v>829297.76</v>
      </c>
      <c r="G12" s="19">
        <v>50111.950000000012</v>
      </c>
      <c r="H12" s="19">
        <v>1051.8500000000349</v>
      </c>
      <c r="I12" s="19">
        <v>52765.850000000093</v>
      </c>
      <c r="J12" s="19">
        <f t="shared" si="3"/>
        <v>22579.090000000084</v>
      </c>
      <c r="K12" s="19">
        <f t="shared" si="4"/>
        <v>723789</v>
      </c>
      <c r="L12" s="19">
        <v>2502</v>
      </c>
      <c r="M12" s="19">
        <v>397</v>
      </c>
      <c r="N12" s="19">
        <f t="shared" si="5"/>
        <v>13619</v>
      </c>
      <c r="O12" s="19">
        <f t="shared" si="0"/>
        <v>737408</v>
      </c>
      <c r="P12" s="19">
        <v>799111</v>
      </c>
      <c r="Q12" s="19">
        <f t="shared" si="1"/>
        <v>-75322</v>
      </c>
      <c r="R12" s="19">
        <v>13490</v>
      </c>
      <c r="S12" s="19">
        <f t="shared" si="2"/>
        <v>129</v>
      </c>
    </row>
    <row r="13" spans="1:19" x14ac:dyDescent="0.25">
      <c r="A13" s="28" t="s">
        <v>69</v>
      </c>
      <c r="B13" s="29" t="s">
        <v>68</v>
      </c>
      <c r="C13" s="19">
        <v>540726.15</v>
      </c>
      <c r="D13" s="19">
        <v>410297.77</v>
      </c>
      <c r="E13" s="19">
        <v>278784.28000000003</v>
      </c>
      <c r="F13" s="19">
        <v>631984.23</v>
      </c>
      <c r="G13" s="19">
        <v>35375.369999999995</v>
      </c>
      <c r="H13" s="19">
        <v>130428.59999999998</v>
      </c>
      <c r="I13" s="19">
        <v>131513.31999999995</v>
      </c>
      <c r="J13" s="19">
        <f t="shared" si="3"/>
        <v>74500.089999999967</v>
      </c>
      <c r="K13" s="19">
        <f t="shared" si="4"/>
        <v>494286</v>
      </c>
      <c r="L13" s="19">
        <v>1975</v>
      </c>
      <c r="M13" s="19">
        <v>466</v>
      </c>
      <c r="N13" s="19">
        <f t="shared" si="5"/>
        <v>9763</v>
      </c>
      <c r="O13" s="19">
        <f t="shared" si="0"/>
        <v>504049</v>
      </c>
      <c r="P13" s="19">
        <v>574971</v>
      </c>
      <c r="Q13" s="19">
        <f t="shared" si="1"/>
        <v>-80685</v>
      </c>
      <c r="R13" s="19">
        <v>10989</v>
      </c>
      <c r="S13" s="19">
        <f t="shared" si="2"/>
        <v>-1226</v>
      </c>
    </row>
    <row r="14" spans="1:19" x14ac:dyDescent="0.25">
      <c r="A14" s="28" t="s">
        <v>69</v>
      </c>
      <c r="B14" s="29" t="s">
        <v>470</v>
      </c>
      <c r="C14" s="19">
        <v>10991.8</v>
      </c>
      <c r="D14" s="19">
        <v>14259.93</v>
      </c>
      <c r="E14" s="19">
        <v>14507.49</v>
      </c>
      <c r="F14" s="19">
        <v>39106.93</v>
      </c>
      <c r="G14" s="19">
        <v>1908.0600000000013</v>
      </c>
      <c r="H14" s="19">
        <v>49.130000000001019</v>
      </c>
      <c r="I14" s="19">
        <v>1580.6400000000012</v>
      </c>
      <c r="J14" s="19">
        <f t="shared" si="3"/>
        <v>-188.29000000000087</v>
      </c>
      <c r="K14" s="19">
        <f t="shared" si="4"/>
        <v>35385</v>
      </c>
      <c r="L14" s="19">
        <v>159</v>
      </c>
      <c r="M14" s="19">
        <v>42</v>
      </c>
      <c r="N14" s="19">
        <f t="shared" si="5"/>
        <v>757</v>
      </c>
      <c r="O14" s="19">
        <f t="shared" si="0"/>
        <v>36142</v>
      </c>
      <c r="P14" s="19">
        <v>37338</v>
      </c>
      <c r="Q14" s="19">
        <f t="shared" si="1"/>
        <v>-1953</v>
      </c>
      <c r="R14" s="19">
        <v>772</v>
      </c>
      <c r="S14" s="19">
        <f t="shared" si="2"/>
        <v>-15</v>
      </c>
    </row>
    <row r="15" spans="1:19" x14ac:dyDescent="0.25">
      <c r="A15" s="28" t="s">
        <v>69</v>
      </c>
      <c r="B15" s="29" t="s">
        <v>468</v>
      </c>
      <c r="C15" s="19">
        <v>17024.919999999998</v>
      </c>
      <c r="D15" s="19">
        <v>26559.17</v>
      </c>
      <c r="E15" s="19">
        <v>29247.09</v>
      </c>
      <c r="F15" s="19">
        <v>144948.74</v>
      </c>
      <c r="G15" s="19">
        <v>2745.8700000000026</v>
      </c>
      <c r="H15" s="19">
        <v>2462.7000000000044</v>
      </c>
      <c r="I15" s="19">
        <v>537.61000000000422</v>
      </c>
      <c r="J15" s="19">
        <f t="shared" si="3"/>
        <v>5722.8700000000244</v>
      </c>
      <c r="K15" s="19">
        <f t="shared" si="4"/>
        <v>124731</v>
      </c>
      <c r="L15" s="19">
        <v>389</v>
      </c>
      <c r="M15" s="19">
        <v>220</v>
      </c>
      <c r="N15" s="19">
        <f t="shared" si="5"/>
        <v>1093</v>
      </c>
      <c r="O15" s="19">
        <f t="shared" si="0"/>
        <v>125824</v>
      </c>
      <c r="P15" s="19">
        <v>150134</v>
      </c>
      <c r="Q15" s="19">
        <f t="shared" si="1"/>
        <v>-25403</v>
      </c>
      <c r="R15" s="19">
        <v>1800</v>
      </c>
      <c r="S15" s="19">
        <f t="shared" si="2"/>
        <v>-707</v>
      </c>
    </row>
    <row r="16" spans="1:19" x14ac:dyDescent="0.25">
      <c r="A16" s="28" t="s">
        <v>69</v>
      </c>
      <c r="B16" s="29" t="s">
        <v>466</v>
      </c>
      <c r="C16" s="19">
        <v>9573.7900000000009</v>
      </c>
      <c r="D16" s="19">
        <v>20240.27</v>
      </c>
      <c r="E16" s="19">
        <v>30258.32</v>
      </c>
      <c r="F16" s="19">
        <v>110341.23</v>
      </c>
      <c r="G16" s="19">
        <v>2886.2199999999975</v>
      </c>
      <c r="H16" s="19">
        <v>-5840.0500000000029</v>
      </c>
      <c r="I16" s="19">
        <v>3115.6299999999974</v>
      </c>
      <c r="J16" s="19">
        <f t="shared" si="3"/>
        <v>4832.4000000000087</v>
      </c>
      <c r="K16" s="19">
        <f t="shared" si="4"/>
        <v>94475</v>
      </c>
      <c r="L16" s="19">
        <v>371</v>
      </c>
      <c r="M16" s="19">
        <v>103</v>
      </c>
      <c r="N16" s="19">
        <f t="shared" si="5"/>
        <v>1734</v>
      </c>
      <c r="O16" s="19">
        <f t="shared" si="0"/>
        <v>96209</v>
      </c>
      <c r="P16" s="19">
        <v>112058</v>
      </c>
      <c r="Q16" s="19">
        <f t="shared" si="1"/>
        <v>-17583</v>
      </c>
      <c r="R16" s="19">
        <v>1580</v>
      </c>
      <c r="S16" s="19">
        <f t="shared" si="2"/>
        <v>154</v>
      </c>
    </row>
    <row r="17" spans="1:19" x14ac:dyDescent="0.25">
      <c r="A17" s="28" t="s">
        <v>69</v>
      </c>
      <c r="B17" s="29" t="s">
        <v>464</v>
      </c>
      <c r="C17" s="19">
        <v>191907.65</v>
      </c>
      <c r="D17" s="19">
        <v>226179.55</v>
      </c>
      <c r="E17" s="19">
        <v>288469.09999999998</v>
      </c>
      <c r="F17" s="19">
        <v>622422.17000000004</v>
      </c>
      <c r="G17" s="19">
        <v>-3400.5099999999802</v>
      </c>
      <c r="H17" s="19">
        <v>-9259.0599999999686</v>
      </c>
      <c r="I17" s="19">
        <v>30321.840000000084</v>
      </c>
      <c r="J17" s="19">
        <f t="shared" si="3"/>
        <v>20497.670000000042</v>
      </c>
      <c r="K17" s="19">
        <f t="shared" si="4"/>
        <v>539682</v>
      </c>
      <c r="L17" s="19">
        <v>1831</v>
      </c>
      <c r="M17" s="19">
        <v>400</v>
      </c>
      <c r="N17" s="19">
        <f t="shared" si="5"/>
        <v>9259</v>
      </c>
      <c r="O17" s="19">
        <f t="shared" si="0"/>
        <v>548941</v>
      </c>
      <c r="P17" s="19">
        <v>612598</v>
      </c>
      <c r="Q17" s="19">
        <f t="shared" si="1"/>
        <v>-72916</v>
      </c>
      <c r="R17" s="19">
        <v>9427</v>
      </c>
      <c r="S17" s="19">
        <f t="shared" si="2"/>
        <v>-168</v>
      </c>
    </row>
    <row r="18" spans="1:19" x14ac:dyDescent="0.25">
      <c r="A18" s="28" t="s">
        <v>69</v>
      </c>
      <c r="B18" s="31" t="s">
        <v>587</v>
      </c>
      <c r="C18" s="19">
        <v>3388365.5799999996</v>
      </c>
      <c r="D18" s="19">
        <v>3986525.13</v>
      </c>
      <c r="E18" s="19">
        <v>4600738.8</v>
      </c>
      <c r="F18" s="19">
        <v>15106470.83</v>
      </c>
      <c r="G18" s="19">
        <v>196132.65000000037</v>
      </c>
      <c r="H18" s="19">
        <v>-80973.479999999516</v>
      </c>
      <c r="I18" s="19">
        <v>276128.72000000067</v>
      </c>
      <c r="J18" s="19">
        <f t="shared" si="3"/>
        <v>252647.8900000006</v>
      </c>
      <c r="K18" s="19">
        <f t="shared" si="4"/>
        <v>13343176</v>
      </c>
      <c r="L18" s="19">
        <v>40041</v>
      </c>
      <c r="M18" s="19">
        <v>16131</v>
      </c>
      <c r="N18" s="19">
        <f t="shared" si="5"/>
        <v>154698</v>
      </c>
      <c r="O18" s="19">
        <f t="shared" si="0"/>
        <v>13497874</v>
      </c>
      <c r="P18" s="19">
        <v>15082990</v>
      </c>
      <c r="Q18" s="19">
        <f t="shared" si="1"/>
        <v>-1739814</v>
      </c>
      <c r="R18" s="19">
        <v>196549</v>
      </c>
      <c r="S18" s="19">
        <f t="shared" si="2"/>
        <v>-41851</v>
      </c>
    </row>
    <row r="19" spans="1:19" x14ac:dyDescent="0.25">
      <c r="A19" s="28" t="s">
        <v>69</v>
      </c>
      <c r="B19" s="29" t="s">
        <v>460</v>
      </c>
      <c r="C19" s="19">
        <v>44396.14</v>
      </c>
      <c r="D19" s="19">
        <v>95211.12</v>
      </c>
      <c r="E19" s="19">
        <v>104762.12</v>
      </c>
      <c r="F19" s="19">
        <v>267564.87</v>
      </c>
      <c r="G19" s="19">
        <v>20484.919999999998</v>
      </c>
      <c r="H19" s="19">
        <v>-1950.1999999999971</v>
      </c>
      <c r="I19" s="19">
        <v>21025.680000000008</v>
      </c>
      <c r="J19" s="19">
        <f t="shared" si="3"/>
        <v>21016.809999999998</v>
      </c>
      <c r="K19" s="19">
        <f t="shared" si="4"/>
        <v>219792</v>
      </c>
      <c r="L19" s="19">
        <v>600</v>
      </c>
      <c r="M19" s="19">
        <v>267</v>
      </c>
      <c r="N19" s="19">
        <f t="shared" si="5"/>
        <v>2155</v>
      </c>
      <c r="O19" s="19">
        <f t="shared" si="0"/>
        <v>221947</v>
      </c>
      <c r="P19" s="19">
        <v>267556</v>
      </c>
      <c r="Q19" s="19">
        <f t="shared" si="1"/>
        <v>-47764</v>
      </c>
      <c r="R19" s="19">
        <v>3012</v>
      </c>
      <c r="S19" s="19">
        <f t="shared" si="2"/>
        <v>-857</v>
      </c>
    </row>
    <row r="20" spans="1:19" x14ac:dyDescent="0.25">
      <c r="A20" s="28" t="s">
        <v>67</v>
      </c>
      <c r="B20" s="29" t="s">
        <v>591</v>
      </c>
      <c r="C20" s="19">
        <v>265133.46999999997</v>
      </c>
      <c r="D20" s="19">
        <v>219896.89</v>
      </c>
      <c r="E20" s="19">
        <v>175148.26</v>
      </c>
      <c r="F20" s="19">
        <v>188319.78</v>
      </c>
      <c r="G20" s="19">
        <v>55944.030000000028</v>
      </c>
      <c r="H20" s="19">
        <v>45236.140000000014</v>
      </c>
      <c r="I20" s="19">
        <v>46624.880000000005</v>
      </c>
      <c r="J20" s="19">
        <f t="shared" si="3"/>
        <v>16013.100000000006</v>
      </c>
      <c r="K20" s="19">
        <f t="shared" si="4"/>
        <v>153475</v>
      </c>
      <c r="L20" s="19">
        <v>715</v>
      </c>
      <c r="M20" s="19">
        <v>0</v>
      </c>
      <c r="N20" s="19">
        <f t="shared" si="5"/>
        <v>4626</v>
      </c>
      <c r="O20" s="19">
        <f t="shared" si="0"/>
        <v>158101</v>
      </c>
      <c r="P20" s="19">
        <v>157708</v>
      </c>
      <c r="Q20" s="19">
        <f t="shared" si="1"/>
        <v>-4233</v>
      </c>
      <c r="R20" s="19">
        <v>4396</v>
      </c>
      <c r="S20" s="19">
        <f t="shared" si="2"/>
        <v>230</v>
      </c>
    </row>
    <row r="21" spans="1:19" x14ac:dyDescent="0.25">
      <c r="A21" s="28" t="s">
        <v>58</v>
      </c>
      <c r="B21" s="29" t="s">
        <v>592</v>
      </c>
      <c r="C21" s="19">
        <v>72451.34</v>
      </c>
      <c r="D21" s="19">
        <v>70615.42</v>
      </c>
      <c r="E21" s="19">
        <v>62090.720000000001</v>
      </c>
      <c r="F21" s="19">
        <v>141383.44</v>
      </c>
      <c r="G21" s="19">
        <v>6269.2700000000186</v>
      </c>
      <c r="H21" s="19">
        <v>3093.8500000000204</v>
      </c>
      <c r="I21" s="19">
        <v>11663.130000000019</v>
      </c>
      <c r="J21" s="19">
        <f t="shared" si="3"/>
        <v>10299.690000000002</v>
      </c>
      <c r="K21" s="19">
        <f t="shared" si="4"/>
        <v>116945</v>
      </c>
      <c r="L21" s="19">
        <v>494</v>
      </c>
      <c r="M21" s="19">
        <v>135</v>
      </c>
      <c r="N21" s="19">
        <f t="shared" si="5"/>
        <v>2323</v>
      </c>
      <c r="O21" s="19">
        <f t="shared" si="0"/>
        <v>119268</v>
      </c>
      <c r="P21" s="19">
        <v>140020</v>
      </c>
      <c r="Q21" s="19">
        <f t="shared" si="1"/>
        <v>-23075</v>
      </c>
      <c r="R21" s="19">
        <v>2649</v>
      </c>
      <c r="S21" s="19">
        <f t="shared" si="2"/>
        <v>-326</v>
      </c>
    </row>
    <row r="22" spans="1:19" x14ac:dyDescent="0.25">
      <c r="A22" s="28" t="s">
        <v>58</v>
      </c>
      <c r="B22" s="29" t="s">
        <v>434</v>
      </c>
      <c r="C22" s="19">
        <v>268465.23</v>
      </c>
      <c r="D22" s="19">
        <v>252792.2</v>
      </c>
      <c r="E22" s="19">
        <v>239745.14</v>
      </c>
      <c r="F22" s="19">
        <v>493804.4</v>
      </c>
      <c r="G22" s="19">
        <v>57200.390000000014</v>
      </c>
      <c r="H22" s="19">
        <v>15673.190000000002</v>
      </c>
      <c r="I22" s="19">
        <v>39335.049999999988</v>
      </c>
      <c r="J22" s="19">
        <f t="shared" si="3"/>
        <v>11540.649999999965</v>
      </c>
      <c r="K22" s="19">
        <f t="shared" si="4"/>
        <v>432883</v>
      </c>
      <c r="L22" s="19">
        <v>1615</v>
      </c>
      <c r="M22" s="19">
        <v>259</v>
      </c>
      <c r="N22" s="19">
        <f t="shared" si="5"/>
        <v>8773</v>
      </c>
      <c r="O22" s="19">
        <f t="shared" si="0"/>
        <v>441656</v>
      </c>
      <c r="P22" s="19">
        <v>466010</v>
      </c>
      <c r="Q22" s="19">
        <f t="shared" si="1"/>
        <v>-33127</v>
      </c>
      <c r="R22" s="19">
        <v>8226</v>
      </c>
      <c r="S22" s="19">
        <f t="shared" si="2"/>
        <v>547</v>
      </c>
    </row>
    <row r="23" spans="1:19" x14ac:dyDescent="0.25">
      <c r="A23" s="28" t="s">
        <v>58</v>
      </c>
      <c r="B23" s="29" t="s">
        <v>57</v>
      </c>
      <c r="C23" s="19">
        <v>950760.27</v>
      </c>
      <c r="D23" s="19">
        <v>843057.61</v>
      </c>
      <c r="E23" s="19">
        <v>789976.57</v>
      </c>
      <c r="F23" s="19">
        <v>1236954.75</v>
      </c>
      <c r="G23" s="19">
        <v>261373.94999999995</v>
      </c>
      <c r="H23" s="19">
        <v>107702.33999999997</v>
      </c>
      <c r="I23" s="19">
        <v>123984.77000000002</v>
      </c>
      <c r="J23" s="19">
        <f t="shared" si="3"/>
        <v>-4267.9799999999814</v>
      </c>
      <c r="K23" s="19">
        <f t="shared" si="4"/>
        <v>1117527</v>
      </c>
      <c r="L23" s="19">
        <v>4077</v>
      </c>
      <c r="M23" s="19">
        <v>391</v>
      </c>
      <c r="N23" s="19">
        <f t="shared" si="5"/>
        <v>23848</v>
      </c>
      <c r="O23" s="19">
        <f t="shared" si="0"/>
        <v>1141375</v>
      </c>
      <c r="P23" s="19">
        <v>1108702</v>
      </c>
      <c r="Q23" s="19">
        <f t="shared" si="1"/>
        <v>8825</v>
      </c>
      <c r="R23" s="19">
        <v>21967</v>
      </c>
      <c r="S23" s="19">
        <f t="shared" si="2"/>
        <v>1881</v>
      </c>
    </row>
    <row r="24" spans="1:19" x14ac:dyDescent="0.25">
      <c r="A24" s="28" t="s">
        <v>58</v>
      </c>
      <c r="B24" s="29" t="s">
        <v>426</v>
      </c>
      <c r="C24" s="19">
        <v>184634.42</v>
      </c>
      <c r="D24" s="19">
        <v>182546.97</v>
      </c>
      <c r="E24" s="19">
        <v>187930.64</v>
      </c>
      <c r="F24" s="19">
        <v>392732.26</v>
      </c>
      <c r="G24" s="19">
        <v>79951.59</v>
      </c>
      <c r="H24" s="19">
        <v>2087.6199999999953</v>
      </c>
      <c r="I24" s="19">
        <v>26321.979999999981</v>
      </c>
      <c r="J24" s="19">
        <f t="shared" si="3"/>
        <v>8908.7199999999721</v>
      </c>
      <c r="K24" s="19">
        <f t="shared" si="4"/>
        <v>344550</v>
      </c>
      <c r="L24" s="19">
        <v>1389</v>
      </c>
      <c r="M24" s="19">
        <v>319</v>
      </c>
      <c r="N24" s="19">
        <f t="shared" si="5"/>
        <v>6923</v>
      </c>
      <c r="O24" s="19">
        <f t="shared" si="0"/>
        <v>351473</v>
      </c>
      <c r="P24" s="19">
        <v>375319</v>
      </c>
      <c r="Q24" s="19">
        <f t="shared" si="1"/>
        <v>-30769</v>
      </c>
      <c r="R24" s="19">
        <v>7401</v>
      </c>
      <c r="S24" s="19">
        <f t="shared" si="2"/>
        <v>-478</v>
      </c>
    </row>
    <row r="25" spans="1:19" x14ac:dyDescent="0.25">
      <c r="A25" s="28" t="s">
        <v>58</v>
      </c>
      <c r="B25" s="29" t="s">
        <v>59</v>
      </c>
      <c r="C25" s="19">
        <v>782527.59</v>
      </c>
      <c r="D25" s="19">
        <v>722246.89</v>
      </c>
      <c r="E25" s="19">
        <v>741809.01</v>
      </c>
      <c r="F25" s="19">
        <v>1052130.8</v>
      </c>
      <c r="G25" s="19">
        <v>255544.17999999993</v>
      </c>
      <c r="H25" s="19">
        <v>60280.289999999921</v>
      </c>
      <c r="I25" s="19">
        <v>70697.279999999912</v>
      </c>
      <c r="J25" s="19">
        <f t="shared" si="3"/>
        <v>19884.479999999749</v>
      </c>
      <c r="K25" s="19">
        <f t="shared" si="4"/>
        <v>927033</v>
      </c>
      <c r="L25" s="19">
        <v>3888</v>
      </c>
      <c r="M25" s="19">
        <v>174</v>
      </c>
      <c r="N25" s="19">
        <f t="shared" si="5"/>
        <v>24030</v>
      </c>
      <c r="O25" s="19">
        <f t="shared" si="0"/>
        <v>951063</v>
      </c>
      <c r="P25" s="19">
        <v>1001318</v>
      </c>
      <c r="Q25" s="19">
        <f t="shared" si="1"/>
        <v>-74285</v>
      </c>
      <c r="R25" s="19">
        <v>21634</v>
      </c>
      <c r="S25" s="19">
        <f t="shared" si="2"/>
        <v>2396</v>
      </c>
    </row>
    <row r="26" spans="1:19" x14ac:dyDescent="0.25">
      <c r="A26" s="28" t="s">
        <v>58</v>
      </c>
      <c r="B26" s="29" t="s">
        <v>62</v>
      </c>
      <c r="C26" s="19">
        <v>111341.73</v>
      </c>
      <c r="D26" s="19">
        <v>110031.49</v>
      </c>
      <c r="E26" s="19">
        <v>99015.73</v>
      </c>
      <c r="F26" s="19">
        <v>168779.54</v>
      </c>
      <c r="G26" s="19">
        <v>22013.300000000003</v>
      </c>
      <c r="H26" s="19">
        <v>1309.8099999999977</v>
      </c>
      <c r="I26" s="19">
        <v>12718.080000000002</v>
      </c>
      <c r="J26" s="19">
        <f t="shared" si="3"/>
        <v>-9195.4599999999919</v>
      </c>
      <c r="K26" s="19">
        <f t="shared" si="4"/>
        <v>161097</v>
      </c>
      <c r="L26" s="19">
        <v>623</v>
      </c>
      <c r="M26" s="19">
        <v>43</v>
      </c>
      <c r="N26" s="19">
        <f t="shared" si="5"/>
        <v>3753</v>
      </c>
      <c r="O26" s="19">
        <f t="shared" si="0"/>
        <v>164850</v>
      </c>
      <c r="P26" s="19">
        <v>146866</v>
      </c>
      <c r="Q26" s="19">
        <f t="shared" si="1"/>
        <v>14231</v>
      </c>
      <c r="R26" s="19">
        <v>3290</v>
      </c>
      <c r="S26" s="19">
        <f t="shared" si="2"/>
        <v>463</v>
      </c>
    </row>
    <row r="27" spans="1:19" x14ac:dyDescent="0.25">
      <c r="A27" s="28" t="s">
        <v>58</v>
      </c>
      <c r="B27" s="29" t="s">
        <v>61</v>
      </c>
      <c r="C27" s="19">
        <v>238231.25</v>
      </c>
      <c r="D27" s="19">
        <v>222492.81</v>
      </c>
      <c r="E27" s="19">
        <v>230714.95</v>
      </c>
      <c r="F27" s="19">
        <v>396871.14</v>
      </c>
      <c r="G27" s="19">
        <v>51984.210000000021</v>
      </c>
      <c r="H27" s="19">
        <v>15738.400000000023</v>
      </c>
      <c r="I27" s="19">
        <v>25723.450000000012</v>
      </c>
      <c r="J27" s="19">
        <f t="shared" si="3"/>
        <v>9604.3099999999977</v>
      </c>
      <c r="K27" s="19">
        <f t="shared" si="4"/>
        <v>347580</v>
      </c>
      <c r="L27" s="19">
        <v>1546</v>
      </c>
      <c r="M27" s="19">
        <v>292</v>
      </c>
      <c r="N27" s="19">
        <f t="shared" si="5"/>
        <v>8113</v>
      </c>
      <c r="O27" s="19">
        <f t="shared" si="0"/>
        <v>355693</v>
      </c>
      <c r="P27" s="19">
        <v>380752</v>
      </c>
      <c r="Q27" s="19">
        <f t="shared" si="1"/>
        <v>-33172</v>
      </c>
      <c r="R27" s="19">
        <v>8220</v>
      </c>
      <c r="S27" s="19">
        <f t="shared" si="2"/>
        <v>-107</v>
      </c>
    </row>
    <row r="28" spans="1:19" x14ac:dyDescent="0.25">
      <c r="A28" s="28" t="s">
        <v>58</v>
      </c>
      <c r="B28" s="29" t="s">
        <v>64</v>
      </c>
      <c r="C28" s="19">
        <v>80619.03</v>
      </c>
      <c r="D28" s="19">
        <v>61012.67</v>
      </c>
      <c r="E28" s="19">
        <v>58059.79</v>
      </c>
      <c r="F28" s="19">
        <v>100560.42</v>
      </c>
      <c r="G28" s="19">
        <v>4020.6699999999983</v>
      </c>
      <c r="H28" s="19">
        <v>19606</v>
      </c>
      <c r="I28" s="19">
        <v>2953.2099999999991</v>
      </c>
      <c r="J28" s="19">
        <f t="shared" si="3"/>
        <v>10189.789999999994</v>
      </c>
      <c r="K28" s="19">
        <f t="shared" si="4"/>
        <v>80315</v>
      </c>
      <c r="L28" s="19">
        <v>353</v>
      </c>
      <c r="M28" s="19">
        <v>32</v>
      </c>
      <c r="N28" s="19">
        <f t="shared" si="5"/>
        <v>2077</v>
      </c>
      <c r="O28" s="19">
        <f t="shared" si="0"/>
        <v>82392</v>
      </c>
      <c r="P28" s="19">
        <v>107797</v>
      </c>
      <c r="Q28" s="19">
        <f t="shared" si="1"/>
        <v>-27482</v>
      </c>
      <c r="R28" s="19">
        <v>2079</v>
      </c>
      <c r="S28" s="19">
        <f t="shared" si="2"/>
        <v>-2</v>
      </c>
    </row>
    <row r="29" spans="1:19" x14ac:dyDescent="0.25">
      <c r="A29" s="28" t="s">
        <v>55</v>
      </c>
      <c r="B29" s="29" t="s">
        <v>409</v>
      </c>
      <c r="C29" s="19">
        <v>78252.89</v>
      </c>
      <c r="D29" s="19">
        <v>51109.59</v>
      </c>
      <c r="E29" s="19">
        <v>42717.45</v>
      </c>
      <c r="F29" s="19">
        <v>142000.45000000001</v>
      </c>
      <c r="G29" s="19">
        <v>28129.320000000007</v>
      </c>
      <c r="H29" s="19">
        <v>27143.73000000001</v>
      </c>
      <c r="I29" s="19">
        <v>8392.2800000000134</v>
      </c>
      <c r="J29" s="19">
        <f t="shared" si="3"/>
        <v>5150.8300000000163</v>
      </c>
      <c r="K29" s="19">
        <f t="shared" si="4"/>
        <v>122650</v>
      </c>
      <c r="L29" s="19">
        <v>452</v>
      </c>
      <c r="M29" s="19">
        <v>159</v>
      </c>
      <c r="N29" s="19">
        <f t="shared" si="5"/>
        <v>1896</v>
      </c>
      <c r="O29" s="19">
        <f t="shared" si="0"/>
        <v>124546</v>
      </c>
      <c r="P29" s="19">
        <v>138759</v>
      </c>
      <c r="Q29" s="19">
        <f t="shared" si="1"/>
        <v>-16109</v>
      </c>
      <c r="R29" s="19">
        <v>2269</v>
      </c>
      <c r="S29" s="19">
        <f t="shared" si="2"/>
        <v>-373</v>
      </c>
    </row>
    <row r="30" spans="1:19" x14ac:dyDescent="0.25">
      <c r="A30" s="28" t="s">
        <v>55</v>
      </c>
      <c r="B30" s="29" t="s">
        <v>593</v>
      </c>
      <c r="C30" s="19">
        <v>73569.919999999998</v>
      </c>
      <c r="D30" s="19">
        <v>68633.919999999998</v>
      </c>
      <c r="E30" s="19">
        <v>52314.06</v>
      </c>
      <c r="F30" s="19">
        <v>116980.51</v>
      </c>
      <c r="G30" s="19">
        <v>4864.7799999999988</v>
      </c>
      <c r="H30" s="19">
        <v>4935.8600000000006</v>
      </c>
      <c r="I30" s="19">
        <v>16319.800000000003</v>
      </c>
      <c r="J30" s="19">
        <f t="shared" si="3"/>
        <v>-4523.7099999999919</v>
      </c>
      <c r="K30" s="19">
        <f t="shared" si="4"/>
        <v>109806</v>
      </c>
      <c r="L30" s="19">
        <v>376</v>
      </c>
      <c r="M30" s="19">
        <v>83</v>
      </c>
      <c r="N30" s="19">
        <f t="shared" si="5"/>
        <v>1896</v>
      </c>
      <c r="O30" s="19">
        <f t="shared" si="0"/>
        <v>111702</v>
      </c>
      <c r="P30" s="19">
        <v>96137</v>
      </c>
      <c r="Q30" s="19">
        <f t="shared" si="1"/>
        <v>13669</v>
      </c>
      <c r="R30" s="19">
        <v>1895</v>
      </c>
      <c r="S30" s="19">
        <f t="shared" si="2"/>
        <v>1</v>
      </c>
    </row>
    <row r="31" spans="1:19" x14ac:dyDescent="0.25">
      <c r="A31" s="28" t="s">
        <v>55</v>
      </c>
      <c r="B31" s="29" t="s">
        <v>397</v>
      </c>
      <c r="C31" s="19">
        <v>86139.67</v>
      </c>
      <c r="D31" s="19">
        <v>51558.080000000002</v>
      </c>
      <c r="E31" s="19">
        <v>41544.480000000003</v>
      </c>
      <c r="F31" s="19">
        <v>98951.38</v>
      </c>
      <c r="G31" s="19">
        <v>19303.089999999997</v>
      </c>
      <c r="H31" s="19">
        <v>34582.009999999995</v>
      </c>
      <c r="I31" s="19">
        <v>13314.529999999992</v>
      </c>
      <c r="J31" s="19">
        <f t="shared" si="3"/>
        <v>779.14999999999418</v>
      </c>
      <c r="K31" s="19">
        <f t="shared" si="4"/>
        <v>88277</v>
      </c>
      <c r="L31" s="19">
        <v>366</v>
      </c>
      <c r="M31" s="19">
        <v>86</v>
      </c>
      <c r="N31" s="19">
        <f t="shared" si="5"/>
        <v>1812</v>
      </c>
      <c r="O31" s="19">
        <f t="shared" si="0"/>
        <v>90089</v>
      </c>
      <c r="P31" s="19">
        <v>86416</v>
      </c>
      <c r="Q31" s="19">
        <f t="shared" si="1"/>
        <v>1861</v>
      </c>
      <c r="R31" s="19">
        <v>1871</v>
      </c>
      <c r="S31" s="19">
        <f t="shared" si="2"/>
        <v>-59</v>
      </c>
    </row>
    <row r="32" spans="1:19" x14ac:dyDescent="0.25">
      <c r="A32" s="28" t="s">
        <v>52</v>
      </c>
      <c r="B32" s="29" t="s">
        <v>594</v>
      </c>
      <c r="C32" s="19">
        <v>62535.85</v>
      </c>
      <c r="D32" s="19">
        <v>23943.78</v>
      </c>
      <c r="E32" s="19">
        <v>23115.81</v>
      </c>
      <c r="F32" s="19">
        <v>150845.98000000001</v>
      </c>
      <c r="G32" s="19">
        <v>35014.049999999996</v>
      </c>
      <c r="H32" s="19">
        <v>38592.269999999997</v>
      </c>
      <c r="I32" s="19">
        <v>15476.459999999995</v>
      </c>
      <c r="J32" s="19">
        <f t="shared" si="3"/>
        <v>-2409.5200000000186</v>
      </c>
      <c r="K32" s="19">
        <f t="shared" si="4"/>
        <v>138171</v>
      </c>
      <c r="L32" s="19">
        <v>463</v>
      </c>
      <c r="M32" s="19">
        <v>222</v>
      </c>
      <c r="N32" s="19">
        <f t="shared" si="5"/>
        <v>1559</v>
      </c>
      <c r="O32" s="19">
        <f t="shared" si="0"/>
        <v>139730</v>
      </c>
      <c r="P32" s="19">
        <v>132960</v>
      </c>
      <c r="Q32" s="19">
        <f t="shared" si="1"/>
        <v>5211</v>
      </c>
      <c r="R32" s="19">
        <v>2162</v>
      </c>
      <c r="S32" s="19">
        <f t="shared" si="2"/>
        <v>-603</v>
      </c>
    </row>
    <row r="33" spans="1:19" x14ac:dyDescent="0.25">
      <c r="A33" s="28" t="s">
        <v>52</v>
      </c>
      <c r="B33" s="29" t="s">
        <v>51</v>
      </c>
      <c r="C33" s="19">
        <v>75093.67</v>
      </c>
      <c r="D33" s="19">
        <v>69699.02</v>
      </c>
      <c r="E33" s="19">
        <v>52133.82</v>
      </c>
      <c r="F33" s="19">
        <v>245312.47</v>
      </c>
      <c r="G33" s="19">
        <v>38835.199999999997</v>
      </c>
      <c r="H33" s="19">
        <v>5394.179999999993</v>
      </c>
      <c r="I33" s="19">
        <v>20110.359999999993</v>
      </c>
      <c r="J33" s="19">
        <f t="shared" si="3"/>
        <v>29721.889999999985</v>
      </c>
      <c r="K33" s="19">
        <f t="shared" si="4"/>
        <v>191059</v>
      </c>
      <c r="L33" s="19">
        <v>926</v>
      </c>
      <c r="M33" s="19">
        <v>363</v>
      </c>
      <c r="N33" s="19">
        <f t="shared" si="5"/>
        <v>3643</v>
      </c>
      <c r="O33" s="19">
        <f t="shared" si="0"/>
        <v>194702</v>
      </c>
      <c r="P33" s="19">
        <v>254924</v>
      </c>
      <c r="Q33" s="19">
        <f t="shared" si="1"/>
        <v>-63865</v>
      </c>
      <c r="R33" s="19">
        <v>3784</v>
      </c>
      <c r="S33" s="19">
        <f t="shared" si="2"/>
        <v>-141</v>
      </c>
    </row>
    <row r="34" spans="1:19" x14ac:dyDescent="0.25">
      <c r="A34" s="28" t="s">
        <v>52</v>
      </c>
      <c r="B34" s="29" t="s">
        <v>370</v>
      </c>
      <c r="C34" s="19">
        <v>192344.03</v>
      </c>
      <c r="D34" s="19">
        <v>174697.09</v>
      </c>
      <c r="E34" s="19">
        <v>173671.33</v>
      </c>
      <c r="F34" s="19">
        <v>307526.03000000003</v>
      </c>
      <c r="G34" s="19">
        <v>-66.130000000004657</v>
      </c>
      <c r="H34" s="19">
        <v>17646.78</v>
      </c>
      <c r="I34" s="19">
        <v>14425.450000000012</v>
      </c>
      <c r="J34" s="19">
        <f t="shared" si="3"/>
        <v>11207.419999999984</v>
      </c>
      <c r="K34" s="19">
        <f t="shared" si="4"/>
        <v>265566</v>
      </c>
      <c r="L34" s="19">
        <v>1108</v>
      </c>
      <c r="M34" s="19">
        <v>199</v>
      </c>
      <c r="N34" s="19">
        <f t="shared" si="5"/>
        <v>5881</v>
      </c>
      <c r="O34" s="19">
        <f t="shared" si="0"/>
        <v>271447</v>
      </c>
      <c r="P34" s="19">
        <v>304308</v>
      </c>
      <c r="Q34" s="19">
        <f t="shared" si="1"/>
        <v>-38742</v>
      </c>
      <c r="R34" s="19">
        <v>5993</v>
      </c>
      <c r="S34" s="19">
        <f t="shared" si="2"/>
        <v>-112</v>
      </c>
    </row>
    <row r="35" spans="1:19" x14ac:dyDescent="0.25">
      <c r="A35" s="28" t="s">
        <v>47</v>
      </c>
      <c r="B35" s="29" t="s">
        <v>48</v>
      </c>
      <c r="C35" s="19">
        <v>223550.76</v>
      </c>
      <c r="D35" s="19">
        <v>220264.1</v>
      </c>
      <c r="E35" s="19">
        <v>244927.77</v>
      </c>
      <c r="F35" s="19">
        <v>819618.89</v>
      </c>
      <c r="G35" s="19">
        <v>43370.119999999995</v>
      </c>
      <c r="H35" s="19">
        <v>15427.01999999999</v>
      </c>
      <c r="I35" s="19">
        <v>17796.250000000029</v>
      </c>
      <c r="J35" s="19">
        <f t="shared" si="3"/>
        <v>91733.359999999986</v>
      </c>
      <c r="K35" s="19">
        <f t="shared" si="4"/>
        <v>645924</v>
      </c>
      <c r="L35" s="19">
        <v>2467</v>
      </c>
      <c r="M35" s="19">
        <v>1053</v>
      </c>
      <c r="N35" s="19">
        <f t="shared" si="5"/>
        <v>9149</v>
      </c>
      <c r="O35" s="19">
        <f t="shared" si="0"/>
        <v>655073</v>
      </c>
      <c r="P35" s="19">
        <v>893556</v>
      </c>
      <c r="Q35" s="19">
        <f t="shared" si="1"/>
        <v>-247632</v>
      </c>
      <c r="R35" s="19">
        <v>12664</v>
      </c>
      <c r="S35" s="19">
        <f t="shared" si="2"/>
        <v>-3515</v>
      </c>
    </row>
    <row r="36" spans="1:19" x14ac:dyDescent="0.25">
      <c r="A36" s="28" t="s">
        <v>47</v>
      </c>
      <c r="B36" s="29" t="s">
        <v>353</v>
      </c>
      <c r="C36" s="19">
        <v>167829.48</v>
      </c>
      <c r="D36" s="19">
        <v>113549.17</v>
      </c>
      <c r="E36" s="19">
        <v>101290.4</v>
      </c>
      <c r="F36" s="19">
        <v>244571.65</v>
      </c>
      <c r="G36" s="19">
        <v>35300.910000000003</v>
      </c>
      <c r="H36" s="19">
        <v>54280.740000000005</v>
      </c>
      <c r="I36" s="19">
        <v>12258.340000000011</v>
      </c>
      <c r="J36" s="19">
        <f t="shared" si="3"/>
        <v>26490.690000000031</v>
      </c>
      <c r="K36" s="19">
        <f t="shared" si="4"/>
        <v>193624</v>
      </c>
      <c r="L36" s="19">
        <v>856</v>
      </c>
      <c r="M36" s="19">
        <v>277</v>
      </c>
      <c r="N36" s="19">
        <f t="shared" si="5"/>
        <v>3746</v>
      </c>
      <c r="O36" s="19">
        <f t="shared" ref="O36:O67" si="6">N36+K36</f>
        <v>197370</v>
      </c>
      <c r="P36" s="19">
        <v>258804</v>
      </c>
      <c r="Q36" s="19">
        <f t="shared" ref="Q36:Q67" si="7">K36-P36</f>
        <v>-65180</v>
      </c>
      <c r="R36" s="19">
        <v>4645</v>
      </c>
      <c r="S36" s="19">
        <f t="shared" ref="S36:S67" si="8">N36-R36</f>
        <v>-899</v>
      </c>
    </row>
    <row r="37" spans="1:19" x14ac:dyDescent="0.25">
      <c r="A37" s="28" t="s">
        <v>47</v>
      </c>
      <c r="B37" s="29" t="s">
        <v>349</v>
      </c>
      <c r="C37" s="19">
        <v>2752.85</v>
      </c>
      <c r="D37" s="19">
        <v>2244.88</v>
      </c>
      <c r="E37" s="19">
        <v>2105.61</v>
      </c>
      <c r="F37" s="19">
        <v>2150</v>
      </c>
      <c r="G37" s="19">
        <v>3406.32</v>
      </c>
      <c r="H37" s="19">
        <v>1161.44</v>
      </c>
      <c r="I37" s="19">
        <v>138.82999999999993</v>
      </c>
      <c r="J37" s="19">
        <f t="shared" si="3"/>
        <v>109.82999999999993</v>
      </c>
      <c r="K37" s="19">
        <f t="shared" si="4"/>
        <v>1825</v>
      </c>
      <c r="L37" s="19">
        <v>12</v>
      </c>
      <c r="M37" s="19">
        <v>0</v>
      </c>
      <c r="N37" s="19">
        <f t="shared" si="5"/>
        <v>78</v>
      </c>
      <c r="O37" s="19">
        <f t="shared" si="6"/>
        <v>1903</v>
      </c>
      <c r="P37" s="19">
        <v>2121</v>
      </c>
      <c r="Q37" s="19">
        <f t="shared" si="7"/>
        <v>-296</v>
      </c>
      <c r="R37" s="19">
        <v>83</v>
      </c>
      <c r="S37" s="19">
        <f t="shared" si="8"/>
        <v>-5</v>
      </c>
    </row>
    <row r="38" spans="1:19" x14ac:dyDescent="0.25">
      <c r="A38" s="28" t="s">
        <v>38</v>
      </c>
      <c r="B38" s="29" t="s">
        <v>344</v>
      </c>
      <c r="C38" s="19">
        <v>28431.26</v>
      </c>
      <c r="D38" s="19">
        <v>26796.87</v>
      </c>
      <c r="E38" s="19">
        <v>18792.59</v>
      </c>
      <c r="F38" s="19">
        <v>23220.400000000001</v>
      </c>
      <c r="G38" s="19">
        <v>8352.7199999999975</v>
      </c>
      <c r="H38" s="19">
        <v>2010.8499999999985</v>
      </c>
      <c r="I38" s="19">
        <v>8004.2599999999984</v>
      </c>
      <c r="J38" s="19">
        <f t="shared" si="3"/>
        <v>5519.8599999999969</v>
      </c>
      <c r="K38" s="19">
        <f t="shared" si="4"/>
        <v>15379</v>
      </c>
      <c r="L38" s="19">
        <v>109</v>
      </c>
      <c r="M38" s="19">
        <v>0</v>
      </c>
      <c r="N38" s="19">
        <f t="shared" si="5"/>
        <v>705</v>
      </c>
      <c r="O38" s="19">
        <f t="shared" si="6"/>
        <v>16084</v>
      </c>
      <c r="P38" s="19">
        <v>20736</v>
      </c>
      <c r="Q38" s="19">
        <f t="shared" si="7"/>
        <v>-5357</v>
      </c>
      <c r="R38" s="19">
        <v>725</v>
      </c>
      <c r="S38" s="19">
        <f t="shared" si="8"/>
        <v>-20</v>
      </c>
    </row>
    <row r="39" spans="1:19" x14ac:dyDescent="0.25">
      <c r="A39" s="28" t="s">
        <v>38</v>
      </c>
      <c r="B39" s="29" t="s">
        <v>342</v>
      </c>
      <c r="C39" s="19">
        <v>86062.63</v>
      </c>
      <c r="D39" s="19">
        <v>41560.14</v>
      </c>
      <c r="E39" s="19">
        <v>47300.15</v>
      </c>
      <c r="F39" s="19">
        <v>84847.78</v>
      </c>
      <c r="G39" s="19">
        <v>30245.349999999991</v>
      </c>
      <c r="H39" s="19">
        <v>44502.209999999992</v>
      </c>
      <c r="I39" s="19">
        <v>4059.0599999999904</v>
      </c>
      <c r="J39" s="19">
        <f t="shared" si="3"/>
        <v>5458.2799999999988</v>
      </c>
      <c r="K39" s="19">
        <f t="shared" si="4"/>
        <v>70905</v>
      </c>
      <c r="L39" s="19">
        <v>265</v>
      </c>
      <c r="M39" s="19">
        <v>54</v>
      </c>
      <c r="N39" s="19">
        <f t="shared" si="5"/>
        <v>1365</v>
      </c>
      <c r="O39" s="19">
        <f t="shared" si="6"/>
        <v>72270</v>
      </c>
      <c r="P39" s="19">
        <v>86247</v>
      </c>
      <c r="Q39" s="19">
        <f t="shared" si="7"/>
        <v>-15342</v>
      </c>
      <c r="R39" s="19">
        <v>1461</v>
      </c>
      <c r="S39" s="19">
        <f t="shared" si="8"/>
        <v>-96</v>
      </c>
    </row>
    <row r="40" spans="1:19" x14ac:dyDescent="0.25">
      <c r="A40" s="28" t="s">
        <v>38</v>
      </c>
      <c r="B40" s="29" t="s">
        <v>336</v>
      </c>
      <c r="C40" s="19">
        <v>33274.620000000003</v>
      </c>
      <c r="D40" s="19">
        <v>28090.41</v>
      </c>
      <c r="E40" s="19">
        <v>22526.21</v>
      </c>
      <c r="F40" s="19">
        <v>69323.05</v>
      </c>
      <c r="G40" s="19">
        <v>3498.1299999999974</v>
      </c>
      <c r="H40" s="19">
        <v>5183.7199999999975</v>
      </c>
      <c r="I40" s="19">
        <v>6168.5099999999984</v>
      </c>
      <c r="J40" s="19">
        <f t="shared" si="3"/>
        <v>13417.459999999992</v>
      </c>
      <c r="K40" s="19">
        <f t="shared" si="4"/>
        <v>48973</v>
      </c>
      <c r="L40" s="19">
        <v>187</v>
      </c>
      <c r="M40" s="19">
        <v>70</v>
      </c>
      <c r="N40" s="19">
        <f t="shared" si="5"/>
        <v>757</v>
      </c>
      <c r="O40" s="19">
        <f t="shared" si="6"/>
        <v>49730</v>
      </c>
      <c r="P40" s="19">
        <v>76572</v>
      </c>
      <c r="Q40" s="19">
        <f t="shared" si="7"/>
        <v>-27599</v>
      </c>
      <c r="R40" s="19">
        <v>909</v>
      </c>
      <c r="S40" s="19">
        <f t="shared" si="8"/>
        <v>-152</v>
      </c>
    </row>
    <row r="41" spans="1:19" x14ac:dyDescent="0.25">
      <c r="A41" s="28" t="s">
        <v>38</v>
      </c>
      <c r="B41" s="29" t="s">
        <v>37</v>
      </c>
      <c r="C41" s="19">
        <v>214168.31</v>
      </c>
      <c r="D41" s="19">
        <v>195166.59</v>
      </c>
      <c r="E41" s="19">
        <v>167202.43</v>
      </c>
      <c r="F41" s="19">
        <v>459397.5</v>
      </c>
      <c r="G41" s="19">
        <v>53799.150000000023</v>
      </c>
      <c r="H41" s="19">
        <v>19001.560000000027</v>
      </c>
      <c r="I41" s="19">
        <v>27964.130000000034</v>
      </c>
      <c r="J41" s="19">
        <f t="shared" si="3"/>
        <v>12150.630000000005</v>
      </c>
      <c r="K41" s="19">
        <f t="shared" si="4"/>
        <v>401307</v>
      </c>
      <c r="L41" s="19">
        <v>1489</v>
      </c>
      <c r="M41" s="19">
        <v>406</v>
      </c>
      <c r="N41" s="19">
        <f t="shared" si="5"/>
        <v>7007</v>
      </c>
      <c r="O41" s="19">
        <f t="shared" si="6"/>
        <v>408314</v>
      </c>
      <c r="P41" s="19">
        <v>443584</v>
      </c>
      <c r="Q41" s="19">
        <f t="shared" si="7"/>
        <v>-42277</v>
      </c>
      <c r="R41" s="19">
        <v>6843</v>
      </c>
      <c r="S41" s="19">
        <f t="shared" si="8"/>
        <v>164</v>
      </c>
    </row>
    <row r="42" spans="1:19" x14ac:dyDescent="0.25">
      <c r="A42" s="28" t="s">
        <v>38</v>
      </c>
      <c r="B42" s="29" t="s">
        <v>328</v>
      </c>
      <c r="C42" s="19">
        <v>178092.93</v>
      </c>
      <c r="D42" s="19">
        <v>170659.47</v>
      </c>
      <c r="E42" s="19">
        <v>174974.23</v>
      </c>
      <c r="F42" s="19">
        <v>372445.51</v>
      </c>
      <c r="G42" s="19">
        <v>45796.389999999985</v>
      </c>
      <c r="H42" s="19">
        <v>7433.9199999999837</v>
      </c>
      <c r="I42" s="19">
        <v>17232.689999999973</v>
      </c>
      <c r="J42" s="19">
        <f t="shared" si="3"/>
        <v>-259.82000000006519</v>
      </c>
      <c r="K42" s="19">
        <f t="shared" si="4"/>
        <v>335461</v>
      </c>
      <c r="L42" s="19">
        <v>1332</v>
      </c>
      <c r="M42" s="19">
        <v>286</v>
      </c>
      <c r="N42" s="19">
        <f t="shared" si="5"/>
        <v>6768</v>
      </c>
      <c r="O42" s="19">
        <f t="shared" si="6"/>
        <v>342229</v>
      </c>
      <c r="P42" s="19">
        <v>354953</v>
      </c>
      <c r="Q42" s="19">
        <f t="shared" si="7"/>
        <v>-19492</v>
      </c>
      <c r="R42" s="19">
        <v>7431</v>
      </c>
      <c r="S42" s="19">
        <f t="shared" si="8"/>
        <v>-663</v>
      </c>
    </row>
    <row r="43" spans="1:19" x14ac:dyDescent="0.25">
      <c r="A43" s="28" t="s">
        <v>38</v>
      </c>
      <c r="B43" s="29" t="s">
        <v>324</v>
      </c>
      <c r="C43" s="19">
        <v>76336.55</v>
      </c>
      <c r="D43" s="19">
        <v>79571.199999999997</v>
      </c>
      <c r="E43" s="19">
        <v>79463.64</v>
      </c>
      <c r="F43" s="19">
        <v>162605.56</v>
      </c>
      <c r="G43" s="19">
        <v>5814.4799999999959</v>
      </c>
      <c r="H43" s="19">
        <v>-1241.7200000000012</v>
      </c>
      <c r="I43" s="19">
        <v>6823.6399999999994</v>
      </c>
      <c r="J43" s="19">
        <f t="shared" si="3"/>
        <v>7890.0800000000163</v>
      </c>
      <c r="K43" s="19">
        <f t="shared" si="4"/>
        <v>138455</v>
      </c>
      <c r="L43" s="19">
        <v>585</v>
      </c>
      <c r="M43" s="19">
        <v>97</v>
      </c>
      <c r="N43" s="19">
        <f t="shared" si="5"/>
        <v>3157</v>
      </c>
      <c r="O43" s="19">
        <f t="shared" si="6"/>
        <v>141612</v>
      </c>
      <c r="P43" s="19">
        <v>163672</v>
      </c>
      <c r="Q43" s="19">
        <f t="shared" si="7"/>
        <v>-25217</v>
      </c>
      <c r="R43" s="19">
        <v>3225</v>
      </c>
      <c r="S43" s="19">
        <f t="shared" si="8"/>
        <v>-68</v>
      </c>
    </row>
    <row r="44" spans="1:19" x14ac:dyDescent="0.25">
      <c r="A44" s="28" t="s">
        <v>38</v>
      </c>
      <c r="B44" s="29" t="s">
        <v>322</v>
      </c>
      <c r="C44" s="19">
        <v>93564.75</v>
      </c>
      <c r="D44" s="19">
        <v>59434.720000000001</v>
      </c>
      <c r="E44" s="19">
        <v>46701.4</v>
      </c>
      <c r="F44" s="19">
        <v>237369.88</v>
      </c>
      <c r="G44" s="19">
        <v>31947.350000000006</v>
      </c>
      <c r="H44" s="19">
        <v>34129.630000000005</v>
      </c>
      <c r="I44" s="19">
        <v>12733.230000000003</v>
      </c>
      <c r="J44" s="19">
        <f t="shared" si="3"/>
        <v>12718.350000000006</v>
      </c>
      <c r="K44" s="19">
        <f t="shared" si="4"/>
        <v>200915</v>
      </c>
      <c r="L44" s="19">
        <v>869</v>
      </c>
      <c r="M44" s="19">
        <v>384</v>
      </c>
      <c r="N44" s="19">
        <f t="shared" si="5"/>
        <v>3138</v>
      </c>
      <c r="O44" s="19">
        <f t="shared" si="6"/>
        <v>204053</v>
      </c>
      <c r="P44" s="19">
        <v>237355</v>
      </c>
      <c r="Q44" s="19">
        <f t="shared" si="7"/>
        <v>-36440</v>
      </c>
      <c r="R44" s="19">
        <v>3784</v>
      </c>
      <c r="S44" s="19">
        <f t="shared" si="8"/>
        <v>-646</v>
      </c>
    </row>
    <row r="45" spans="1:19" x14ac:dyDescent="0.25">
      <c r="A45" s="28" t="s">
        <v>38</v>
      </c>
      <c r="B45" s="29" t="s">
        <v>320</v>
      </c>
      <c r="C45" s="19">
        <v>130296.58</v>
      </c>
      <c r="D45" s="19">
        <v>109977.79</v>
      </c>
      <c r="E45" s="19">
        <v>104423.88</v>
      </c>
      <c r="F45" s="19">
        <v>207146.68</v>
      </c>
      <c r="G45" s="19">
        <v>11833.550000000003</v>
      </c>
      <c r="H45" s="19">
        <v>20318.760000000009</v>
      </c>
      <c r="I45" s="19">
        <v>7197.8800000000047</v>
      </c>
      <c r="J45" s="19">
        <f t="shared" si="3"/>
        <v>7957.2000000000116</v>
      </c>
      <c r="K45" s="19">
        <f t="shared" si="4"/>
        <v>178475</v>
      </c>
      <c r="L45" s="19">
        <v>636</v>
      </c>
      <c r="M45" s="19">
        <v>129</v>
      </c>
      <c r="N45" s="19">
        <f t="shared" si="5"/>
        <v>3280</v>
      </c>
      <c r="O45" s="19">
        <f t="shared" si="6"/>
        <v>181755</v>
      </c>
      <c r="P45" s="19">
        <v>207906</v>
      </c>
      <c r="Q45" s="19">
        <f t="shared" si="7"/>
        <v>-29431</v>
      </c>
      <c r="R45" s="19">
        <v>3504</v>
      </c>
      <c r="S45" s="19">
        <f t="shared" si="8"/>
        <v>-224</v>
      </c>
    </row>
    <row r="46" spans="1:19" x14ac:dyDescent="0.25">
      <c r="A46" s="28" t="s">
        <v>35</v>
      </c>
      <c r="B46" s="29" t="s">
        <v>316</v>
      </c>
      <c r="C46" s="19">
        <v>84151.6</v>
      </c>
      <c r="D46" s="19">
        <v>69585.42</v>
      </c>
      <c r="E46" s="19">
        <v>49686.86</v>
      </c>
      <c r="F46" s="19">
        <v>78978.679999999993</v>
      </c>
      <c r="G46" s="19">
        <v>1821.2799999999988</v>
      </c>
      <c r="H46" s="19">
        <v>14565.86</v>
      </c>
      <c r="I46" s="19">
        <v>19899</v>
      </c>
      <c r="J46" s="19">
        <f t="shared" si="3"/>
        <v>9297.320000000007</v>
      </c>
      <c r="K46" s="19">
        <f t="shared" si="4"/>
        <v>61783</v>
      </c>
      <c r="L46" s="19">
        <v>301</v>
      </c>
      <c r="M46" s="19">
        <v>23</v>
      </c>
      <c r="N46" s="19">
        <f t="shared" si="5"/>
        <v>1799</v>
      </c>
      <c r="O46" s="19">
        <f t="shared" si="6"/>
        <v>63582</v>
      </c>
      <c r="P46" s="19">
        <v>68377</v>
      </c>
      <c r="Q46" s="19">
        <f t="shared" si="7"/>
        <v>-6594</v>
      </c>
      <c r="R46" s="19">
        <v>1729</v>
      </c>
      <c r="S46" s="19">
        <f t="shared" si="8"/>
        <v>70</v>
      </c>
    </row>
    <row r="47" spans="1:19" x14ac:dyDescent="0.25">
      <c r="A47" s="28" t="s">
        <v>35</v>
      </c>
      <c r="B47" s="29" t="s">
        <v>304</v>
      </c>
      <c r="C47" s="19">
        <v>254364.94</v>
      </c>
      <c r="D47" s="19">
        <v>219319.8</v>
      </c>
      <c r="E47" s="19">
        <v>240075.61</v>
      </c>
      <c r="F47" s="19">
        <v>432750.59</v>
      </c>
      <c r="G47" s="19">
        <v>25748.929999999993</v>
      </c>
      <c r="H47" s="19">
        <v>35045.130000000005</v>
      </c>
      <c r="I47" s="19">
        <v>39229.520000000019</v>
      </c>
      <c r="J47" s="19">
        <f t="shared" si="3"/>
        <v>18380.929999999993</v>
      </c>
      <c r="K47" s="19">
        <f t="shared" si="4"/>
        <v>371095</v>
      </c>
      <c r="L47" s="19">
        <v>1451</v>
      </c>
      <c r="M47" s="19">
        <v>238</v>
      </c>
      <c r="N47" s="19">
        <f t="shared" si="5"/>
        <v>7848</v>
      </c>
      <c r="O47" s="19">
        <f t="shared" si="6"/>
        <v>378943</v>
      </c>
      <c r="P47" s="19">
        <v>411902</v>
      </c>
      <c r="Q47" s="19">
        <f t="shared" si="7"/>
        <v>-40807</v>
      </c>
      <c r="R47" s="19">
        <v>7865</v>
      </c>
      <c r="S47" s="19">
        <f t="shared" si="8"/>
        <v>-17</v>
      </c>
    </row>
    <row r="48" spans="1:19" x14ac:dyDescent="0.25">
      <c r="A48" s="28" t="s">
        <v>35</v>
      </c>
      <c r="B48" s="29" t="s">
        <v>302</v>
      </c>
      <c r="C48" s="19">
        <v>36954.800000000003</v>
      </c>
      <c r="D48" s="19">
        <v>31044.01</v>
      </c>
      <c r="E48" s="19">
        <v>28724</v>
      </c>
      <c r="F48" s="19">
        <v>91570.54</v>
      </c>
      <c r="G48" s="19">
        <v>10122.889999999992</v>
      </c>
      <c r="H48" s="19">
        <v>5910.8799999999937</v>
      </c>
      <c r="I48" s="19">
        <v>2319.8799999999937</v>
      </c>
      <c r="J48" s="19">
        <f t="shared" si="3"/>
        <v>5710.3399999999965</v>
      </c>
      <c r="K48" s="19">
        <f t="shared" si="4"/>
        <v>76703</v>
      </c>
      <c r="L48" s="19">
        <v>314</v>
      </c>
      <c r="M48" s="19">
        <v>106</v>
      </c>
      <c r="N48" s="19">
        <f t="shared" si="5"/>
        <v>1346</v>
      </c>
      <c r="O48" s="19">
        <f t="shared" si="6"/>
        <v>78049</v>
      </c>
      <c r="P48" s="19">
        <v>94961</v>
      </c>
      <c r="Q48" s="19">
        <f t="shared" si="7"/>
        <v>-18258</v>
      </c>
      <c r="R48" s="19">
        <v>1616</v>
      </c>
      <c r="S48" s="19">
        <f t="shared" si="8"/>
        <v>-270</v>
      </c>
    </row>
    <row r="49" spans="1:19" x14ac:dyDescent="0.25">
      <c r="A49" s="28" t="s">
        <v>28</v>
      </c>
      <c r="B49" s="29" t="s">
        <v>283</v>
      </c>
      <c r="C49" s="19">
        <v>52001.18</v>
      </c>
      <c r="D49" s="19">
        <v>66462.58</v>
      </c>
      <c r="E49" s="19">
        <v>64095.57</v>
      </c>
      <c r="F49" s="19">
        <v>113593.61</v>
      </c>
      <c r="G49" s="19">
        <v>12391.119999999995</v>
      </c>
      <c r="H49" s="19">
        <v>-1553.4600000000064</v>
      </c>
      <c r="I49" s="19">
        <v>11937.969999999994</v>
      </c>
      <c r="J49" s="19">
        <f t="shared" si="3"/>
        <v>19124.36</v>
      </c>
      <c r="K49" s="19">
        <f t="shared" si="4"/>
        <v>83110</v>
      </c>
      <c r="L49" s="19">
        <v>375</v>
      </c>
      <c r="M49" s="19">
        <v>61</v>
      </c>
      <c r="N49" s="19">
        <f t="shared" si="5"/>
        <v>2032</v>
      </c>
      <c r="O49" s="19">
        <f t="shared" si="6"/>
        <v>85142</v>
      </c>
      <c r="P49" s="19">
        <v>120780</v>
      </c>
      <c r="Q49" s="19">
        <f t="shared" si="7"/>
        <v>-37670</v>
      </c>
      <c r="R49" s="19">
        <v>2108</v>
      </c>
      <c r="S49" s="19">
        <f t="shared" si="8"/>
        <v>-76</v>
      </c>
    </row>
    <row r="50" spans="1:19" x14ac:dyDescent="0.25">
      <c r="A50" s="28" t="s">
        <v>28</v>
      </c>
      <c r="B50" s="29" t="s">
        <v>281</v>
      </c>
      <c r="C50" s="19">
        <v>16075.01</v>
      </c>
      <c r="D50" s="19">
        <v>10150.64</v>
      </c>
      <c r="E50" s="19">
        <v>14870.39</v>
      </c>
      <c r="F50" s="19">
        <v>14112.52</v>
      </c>
      <c r="G50" s="19">
        <v>5065.6100000000024</v>
      </c>
      <c r="H50" s="19">
        <v>5923.970000000003</v>
      </c>
      <c r="I50" s="19">
        <v>1543.5800000000017</v>
      </c>
      <c r="J50" s="19">
        <f t="shared" si="3"/>
        <v>3122.0600000000013</v>
      </c>
      <c r="K50" s="19">
        <f t="shared" si="4"/>
        <v>9579</v>
      </c>
      <c r="L50" s="19">
        <v>61</v>
      </c>
      <c r="M50" s="19">
        <v>0</v>
      </c>
      <c r="N50" s="19">
        <f t="shared" si="5"/>
        <v>395</v>
      </c>
      <c r="O50" s="19">
        <f t="shared" si="6"/>
        <v>9974</v>
      </c>
      <c r="P50" s="19">
        <v>15691</v>
      </c>
      <c r="Q50" s="19">
        <f t="shared" si="7"/>
        <v>-6112</v>
      </c>
      <c r="R50" s="19">
        <v>416</v>
      </c>
      <c r="S50" s="19">
        <f t="shared" si="8"/>
        <v>-21</v>
      </c>
    </row>
    <row r="51" spans="1:19" x14ac:dyDescent="0.25">
      <c r="A51" s="28" t="s">
        <v>28</v>
      </c>
      <c r="B51" s="29" t="s">
        <v>595</v>
      </c>
      <c r="C51" s="19">
        <v>128140.96</v>
      </c>
      <c r="D51" s="19">
        <v>139303.12</v>
      </c>
      <c r="E51" s="19">
        <v>167185.63</v>
      </c>
      <c r="F51" s="19">
        <v>204987.08</v>
      </c>
      <c r="G51" s="19">
        <v>43104.940000000017</v>
      </c>
      <c r="H51" s="19">
        <v>-4439.179999999993</v>
      </c>
      <c r="I51" s="19">
        <v>12316.190000000002</v>
      </c>
      <c r="J51" s="19">
        <f t="shared" si="3"/>
        <v>2230.1100000000151</v>
      </c>
      <c r="K51" s="19">
        <f t="shared" si="4"/>
        <v>182258</v>
      </c>
      <c r="L51" s="19">
        <v>798</v>
      </c>
      <c r="M51" s="19">
        <v>0</v>
      </c>
      <c r="N51" s="19">
        <f t="shared" si="5"/>
        <v>5163</v>
      </c>
      <c r="O51" s="19">
        <f t="shared" si="6"/>
        <v>187421</v>
      </c>
      <c r="P51" s="19">
        <v>194901</v>
      </c>
      <c r="Q51" s="19">
        <f t="shared" si="7"/>
        <v>-12643</v>
      </c>
      <c r="R51" s="19">
        <v>4704</v>
      </c>
      <c r="S51" s="19">
        <f t="shared" si="8"/>
        <v>459</v>
      </c>
    </row>
    <row r="52" spans="1:19" x14ac:dyDescent="0.25">
      <c r="A52" s="28" t="s">
        <v>28</v>
      </c>
      <c r="B52" s="29" t="s">
        <v>596</v>
      </c>
      <c r="C52" s="19">
        <v>106314.05</v>
      </c>
      <c r="D52" s="19">
        <v>82435.360000000001</v>
      </c>
      <c r="E52" s="19">
        <v>89602.64</v>
      </c>
      <c r="F52" s="19">
        <v>139144.14000000001</v>
      </c>
      <c r="G52" s="19">
        <v>10179.85000000002</v>
      </c>
      <c r="H52" s="19">
        <v>23878.49000000002</v>
      </c>
      <c r="I52" s="19">
        <v>16856.85000000002</v>
      </c>
      <c r="J52" s="19">
        <f t="shared" si="3"/>
        <v>7234.710000000021</v>
      </c>
      <c r="K52" s="19">
        <f t="shared" si="4"/>
        <v>117995</v>
      </c>
      <c r="L52" s="19">
        <v>477</v>
      </c>
      <c r="M52" s="19">
        <v>49</v>
      </c>
      <c r="N52" s="19">
        <f t="shared" si="5"/>
        <v>2769</v>
      </c>
      <c r="O52" s="19">
        <f t="shared" si="6"/>
        <v>120764</v>
      </c>
      <c r="P52" s="19">
        <v>129522</v>
      </c>
      <c r="Q52" s="19">
        <f t="shared" si="7"/>
        <v>-11527</v>
      </c>
      <c r="R52" s="19">
        <v>2530</v>
      </c>
      <c r="S52" s="19">
        <f t="shared" si="8"/>
        <v>239</v>
      </c>
    </row>
    <row r="53" spans="1:19" x14ac:dyDescent="0.25">
      <c r="A53" s="28" t="s">
        <v>28</v>
      </c>
      <c r="B53" s="29" t="s">
        <v>30</v>
      </c>
      <c r="C53" s="19">
        <v>691636.49</v>
      </c>
      <c r="D53" s="19">
        <v>692700.06</v>
      </c>
      <c r="E53" s="19">
        <v>645852.30000000005</v>
      </c>
      <c r="F53" s="19">
        <v>1966622.7</v>
      </c>
      <c r="G53" s="19">
        <v>108177.15000000002</v>
      </c>
      <c r="H53" s="19">
        <v>18296.089999999967</v>
      </c>
      <c r="I53" s="19">
        <v>55862.789999999921</v>
      </c>
      <c r="J53" s="19">
        <f t="shared" si="3"/>
        <v>-33989.909999999916</v>
      </c>
      <c r="K53" s="19">
        <f t="shared" si="4"/>
        <v>1803950</v>
      </c>
      <c r="L53" s="19">
        <v>5760</v>
      </c>
      <c r="M53" s="19">
        <v>2060</v>
      </c>
      <c r="N53" s="19">
        <f t="shared" si="5"/>
        <v>23939</v>
      </c>
      <c r="O53" s="19">
        <f t="shared" si="6"/>
        <v>1827889</v>
      </c>
      <c r="P53" s="19">
        <v>1876770</v>
      </c>
      <c r="Q53" s="19">
        <f t="shared" si="7"/>
        <v>-72820</v>
      </c>
      <c r="R53" s="19">
        <v>27068</v>
      </c>
      <c r="S53" s="19">
        <f t="shared" si="8"/>
        <v>-3129</v>
      </c>
    </row>
    <row r="54" spans="1:19" x14ac:dyDescent="0.25">
      <c r="A54" s="28" t="s">
        <v>28</v>
      </c>
      <c r="B54" s="29" t="s">
        <v>275</v>
      </c>
      <c r="C54" s="19">
        <v>106623.65</v>
      </c>
      <c r="D54" s="19">
        <v>83939.96</v>
      </c>
      <c r="E54" s="19">
        <v>74133.11</v>
      </c>
      <c r="F54" s="19">
        <v>266642.38</v>
      </c>
      <c r="G54" s="19">
        <v>46536.320000000007</v>
      </c>
      <c r="H54" s="19">
        <v>22683.360000000001</v>
      </c>
      <c r="I54" s="19">
        <v>9807.25</v>
      </c>
      <c r="J54" s="19">
        <f t="shared" si="3"/>
        <v>2159.8699999999953</v>
      </c>
      <c r="K54" s="19">
        <f t="shared" si="4"/>
        <v>237818</v>
      </c>
      <c r="L54" s="19">
        <v>898</v>
      </c>
      <c r="M54" s="19">
        <v>296</v>
      </c>
      <c r="N54" s="19">
        <f t="shared" si="5"/>
        <v>3895</v>
      </c>
      <c r="O54" s="19">
        <f t="shared" si="6"/>
        <v>241713</v>
      </c>
      <c r="P54" s="19">
        <v>258995</v>
      </c>
      <c r="Q54" s="19">
        <f t="shared" si="7"/>
        <v>-21177</v>
      </c>
      <c r="R54" s="19">
        <v>4360</v>
      </c>
      <c r="S54" s="19">
        <f t="shared" si="8"/>
        <v>-465</v>
      </c>
    </row>
    <row r="55" spans="1:19" x14ac:dyDescent="0.25">
      <c r="A55" s="28" t="s">
        <v>28</v>
      </c>
      <c r="B55" s="29" t="s">
        <v>265</v>
      </c>
      <c r="C55" s="19">
        <v>98789.99</v>
      </c>
      <c r="D55" s="19">
        <v>94159.71</v>
      </c>
      <c r="E55" s="19">
        <v>84090.61</v>
      </c>
      <c r="F55" s="19">
        <v>171938.44</v>
      </c>
      <c r="G55" s="19">
        <v>22675.539999999994</v>
      </c>
      <c r="H55" s="19">
        <v>5776.8299999999872</v>
      </c>
      <c r="I55" s="19">
        <v>16446.219999999987</v>
      </c>
      <c r="J55" s="19">
        <f t="shared" si="3"/>
        <v>12157.77999999997</v>
      </c>
      <c r="K55" s="19">
        <f t="shared" si="4"/>
        <v>142587</v>
      </c>
      <c r="L55" s="19">
        <v>672</v>
      </c>
      <c r="M55" s="19">
        <v>127</v>
      </c>
      <c r="N55" s="19">
        <f t="shared" si="5"/>
        <v>3526</v>
      </c>
      <c r="O55" s="19">
        <f t="shared" si="6"/>
        <v>146113</v>
      </c>
      <c r="P55" s="19">
        <v>167650</v>
      </c>
      <c r="Q55" s="19">
        <f t="shared" si="7"/>
        <v>-25063</v>
      </c>
      <c r="R55" s="19">
        <v>3421</v>
      </c>
      <c r="S55" s="19">
        <f t="shared" si="8"/>
        <v>105</v>
      </c>
    </row>
    <row r="56" spans="1:19" x14ac:dyDescent="0.25">
      <c r="A56" s="28" t="s">
        <v>24</v>
      </c>
      <c r="B56" s="29" t="s">
        <v>249</v>
      </c>
      <c r="C56" s="19">
        <v>300283.56</v>
      </c>
      <c r="D56" s="19">
        <v>261662.05</v>
      </c>
      <c r="E56" s="19">
        <v>292388.87</v>
      </c>
      <c r="F56" s="19">
        <v>448409.3</v>
      </c>
      <c r="G56" s="19">
        <v>57789.510000000009</v>
      </c>
      <c r="H56" s="19">
        <v>38621.460000000021</v>
      </c>
      <c r="I56" s="19">
        <v>28528.590000000026</v>
      </c>
      <c r="J56" s="19">
        <f t="shared" si="3"/>
        <v>66631.290000000037</v>
      </c>
      <c r="K56" s="19">
        <f t="shared" si="4"/>
        <v>336937</v>
      </c>
      <c r="L56" s="19">
        <v>1311</v>
      </c>
      <c r="M56" s="19">
        <v>107</v>
      </c>
      <c r="N56" s="19">
        <f t="shared" si="5"/>
        <v>7790</v>
      </c>
      <c r="O56" s="19">
        <f t="shared" si="6"/>
        <v>344727</v>
      </c>
      <c r="P56" s="19">
        <v>486512</v>
      </c>
      <c r="Q56" s="19">
        <f t="shared" si="7"/>
        <v>-149575</v>
      </c>
      <c r="R56" s="19">
        <v>7140</v>
      </c>
      <c r="S56" s="19">
        <f t="shared" si="8"/>
        <v>650</v>
      </c>
    </row>
    <row r="57" spans="1:19" x14ac:dyDescent="0.25">
      <c r="A57" s="28" t="s">
        <v>24</v>
      </c>
      <c r="B57" s="29" t="s">
        <v>247</v>
      </c>
      <c r="C57" s="19">
        <v>64395.7</v>
      </c>
      <c r="D57" s="19">
        <v>85376.98</v>
      </c>
      <c r="E57" s="19">
        <v>79492.02</v>
      </c>
      <c r="F57" s="19">
        <v>115686.19</v>
      </c>
      <c r="G57" s="19">
        <v>2828.3800000000192</v>
      </c>
      <c r="H57" s="19">
        <v>1858.4000000000233</v>
      </c>
      <c r="I57" s="19">
        <v>14495.380000000019</v>
      </c>
      <c r="J57" s="19">
        <f t="shared" si="3"/>
        <v>12416.190000000017</v>
      </c>
      <c r="K57" s="19">
        <f t="shared" si="4"/>
        <v>91701</v>
      </c>
      <c r="L57" s="19">
        <v>430</v>
      </c>
      <c r="M57" s="19">
        <v>25</v>
      </c>
      <c r="N57" s="19">
        <f t="shared" si="5"/>
        <v>2620</v>
      </c>
      <c r="O57" s="19">
        <f t="shared" si="6"/>
        <v>94321</v>
      </c>
      <c r="P57" s="19">
        <v>113607</v>
      </c>
      <c r="Q57" s="19">
        <f t="shared" si="7"/>
        <v>-21906</v>
      </c>
      <c r="R57" s="19">
        <v>2436</v>
      </c>
      <c r="S57" s="19">
        <f t="shared" si="8"/>
        <v>184</v>
      </c>
    </row>
    <row r="58" spans="1:19" x14ac:dyDescent="0.25">
      <c r="A58" s="28" t="s">
        <v>24</v>
      </c>
      <c r="B58" s="29" t="s">
        <v>243</v>
      </c>
      <c r="C58" s="19">
        <v>115238.71</v>
      </c>
      <c r="D58" s="19">
        <v>123628.33</v>
      </c>
      <c r="E58" s="19">
        <v>133482.79</v>
      </c>
      <c r="F58" s="19">
        <v>323190.8</v>
      </c>
      <c r="G58" s="19">
        <v>18743.300000000003</v>
      </c>
      <c r="H58" s="19">
        <v>6040.9700000000012</v>
      </c>
      <c r="I58" s="19">
        <v>1290.179999999993</v>
      </c>
      <c r="J58" s="19">
        <f t="shared" si="3"/>
        <v>22147.380000000005</v>
      </c>
      <c r="K58" s="19">
        <f t="shared" si="4"/>
        <v>268724</v>
      </c>
      <c r="L58" s="19">
        <v>896</v>
      </c>
      <c r="M58" s="19">
        <v>248</v>
      </c>
      <c r="N58" s="19">
        <f t="shared" si="5"/>
        <v>4193</v>
      </c>
      <c r="O58" s="19">
        <f t="shared" si="6"/>
        <v>272917</v>
      </c>
      <c r="P58" s="19">
        <v>344048</v>
      </c>
      <c r="Q58" s="19">
        <f t="shared" si="7"/>
        <v>-75324</v>
      </c>
      <c r="R58" s="19">
        <v>4782</v>
      </c>
      <c r="S58" s="19">
        <f t="shared" si="8"/>
        <v>-589</v>
      </c>
    </row>
    <row r="59" spans="1:19" x14ac:dyDescent="0.25">
      <c r="A59" s="28" t="s">
        <v>24</v>
      </c>
      <c r="B59" s="29" t="s">
        <v>239</v>
      </c>
      <c r="C59" s="19">
        <v>278558.56</v>
      </c>
      <c r="D59" s="19">
        <v>305245.68</v>
      </c>
      <c r="E59" s="19">
        <v>276232.83</v>
      </c>
      <c r="F59" s="19">
        <v>464480.56</v>
      </c>
      <c r="G59" s="19">
        <v>4854.0800000000163</v>
      </c>
      <c r="H59" s="19">
        <v>13239.400000000023</v>
      </c>
      <c r="I59" s="19">
        <v>50793.570000000007</v>
      </c>
      <c r="J59" s="19">
        <f t="shared" si="3"/>
        <v>30628.010000000009</v>
      </c>
      <c r="K59" s="19">
        <f t="shared" si="4"/>
        <v>387404</v>
      </c>
      <c r="L59" s="19">
        <v>1281</v>
      </c>
      <c r="M59" s="19">
        <v>184</v>
      </c>
      <c r="N59" s="19">
        <f t="shared" si="5"/>
        <v>7098</v>
      </c>
      <c r="O59" s="19">
        <f t="shared" si="6"/>
        <v>394502</v>
      </c>
      <c r="P59" s="19">
        <v>444315</v>
      </c>
      <c r="Q59" s="19">
        <f t="shared" si="7"/>
        <v>-56911</v>
      </c>
      <c r="R59" s="19">
        <v>6861</v>
      </c>
      <c r="S59" s="19">
        <f t="shared" si="8"/>
        <v>237</v>
      </c>
    </row>
    <row r="60" spans="1:19" x14ac:dyDescent="0.25">
      <c r="A60" s="28" t="s">
        <v>20</v>
      </c>
      <c r="B60" s="29" t="s">
        <v>225</v>
      </c>
      <c r="C60" s="19">
        <v>1113</v>
      </c>
      <c r="D60" s="19">
        <v>2290.8200000000002</v>
      </c>
      <c r="E60" s="19">
        <v>5466.37</v>
      </c>
      <c r="F60" s="19">
        <v>8244.3799999999992</v>
      </c>
      <c r="G60" s="19">
        <v>7894.0400000000009</v>
      </c>
      <c r="H60" s="19">
        <v>5603.2200000000012</v>
      </c>
      <c r="I60" s="19">
        <v>496.85000000000127</v>
      </c>
      <c r="J60" s="19">
        <f t="shared" si="3"/>
        <v>223.47000000000298</v>
      </c>
      <c r="K60" s="19">
        <f t="shared" si="4"/>
        <v>7196</v>
      </c>
      <c r="L60" s="19">
        <v>44</v>
      </c>
      <c r="M60" s="19">
        <v>5</v>
      </c>
      <c r="N60" s="19">
        <f t="shared" si="5"/>
        <v>252</v>
      </c>
      <c r="O60" s="19">
        <f t="shared" si="6"/>
        <v>7448</v>
      </c>
      <c r="P60" s="19">
        <v>7971</v>
      </c>
      <c r="Q60" s="19">
        <f t="shared" si="7"/>
        <v>-775</v>
      </c>
      <c r="R60" s="19">
        <v>244</v>
      </c>
      <c r="S60" s="19">
        <f t="shared" si="8"/>
        <v>8</v>
      </c>
    </row>
    <row r="61" spans="1:19" x14ac:dyDescent="0.25">
      <c r="A61" s="32" t="s">
        <v>20</v>
      </c>
      <c r="B61" s="29" t="s">
        <v>215</v>
      </c>
      <c r="C61" s="19">
        <v>0</v>
      </c>
      <c r="D61" s="19">
        <v>0</v>
      </c>
      <c r="E61" s="19">
        <v>3544.93</v>
      </c>
      <c r="F61" s="19">
        <v>0</v>
      </c>
      <c r="G61" s="19">
        <v>1275</v>
      </c>
      <c r="H61" s="19">
        <v>1275</v>
      </c>
      <c r="I61" s="19">
        <v>-494.92999999999984</v>
      </c>
      <c r="J61" s="19">
        <f t="shared" si="3"/>
        <v>3545.07</v>
      </c>
      <c r="K61" s="19">
        <f t="shared" si="4"/>
        <v>0</v>
      </c>
      <c r="L61" s="19">
        <v>0</v>
      </c>
      <c r="M61" s="19">
        <v>0</v>
      </c>
      <c r="N61" s="19">
        <f t="shared" si="5"/>
        <v>0</v>
      </c>
      <c r="O61" s="19">
        <f t="shared" si="6"/>
        <v>0</v>
      </c>
      <c r="P61" s="19">
        <v>4040</v>
      </c>
      <c r="Q61" s="19">
        <f t="shared" si="7"/>
        <v>-4040</v>
      </c>
      <c r="R61" s="19">
        <v>48</v>
      </c>
      <c r="S61" s="19">
        <f t="shared" si="8"/>
        <v>-48</v>
      </c>
    </row>
    <row r="62" spans="1:19" x14ac:dyDescent="0.25">
      <c r="A62" s="32" t="s">
        <v>20</v>
      </c>
      <c r="B62" s="29" t="s">
        <v>597</v>
      </c>
      <c r="C62" s="19">
        <v>236462.35</v>
      </c>
      <c r="D62" s="19">
        <v>238536.04</v>
      </c>
      <c r="E62" s="19">
        <v>239093.68</v>
      </c>
      <c r="F62" s="19">
        <v>656514.6</v>
      </c>
      <c r="G62" s="19">
        <v>13268.829999999987</v>
      </c>
      <c r="H62" s="19">
        <v>-2073.210000000021</v>
      </c>
      <c r="I62" s="19">
        <v>29394.109999999986</v>
      </c>
      <c r="J62" s="19">
        <f t="shared" si="3"/>
        <v>75605.510000000009</v>
      </c>
      <c r="K62" s="19">
        <f t="shared" si="4"/>
        <v>515258</v>
      </c>
      <c r="L62" s="19">
        <v>2269</v>
      </c>
      <c r="M62" s="19">
        <v>814</v>
      </c>
      <c r="N62" s="19">
        <f t="shared" si="5"/>
        <v>9414</v>
      </c>
      <c r="O62" s="19">
        <f t="shared" si="6"/>
        <v>524672</v>
      </c>
      <c r="P62" s="19">
        <v>702726</v>
      </c>
      <c r="Q62" s="19">
        <f t="shared" si="7"/>
        <v>-187468</v>
      </c>
      <c r="R62" s="19">
        <v>11506</v>
      </c>
      <c r="S62" s="19">
        <f t="shared" si="8"/>
        <v>-2092</v>
      </c>
    </row>
    <row r="63" spans="1:19" x14ac:dyDescent="0.25">
      <c r="A63" s="28" t="s">
        <v>13</v>
      </c>
      <c r="B63" s="29" t="s">
        <v>598</v>
      </c>
      <c r="C63" s="19">
        <v>132897.31</v>
      </c>
      <c r="D63" s="19">
        <v>135351.88</v>
      </c>
      <c r="E63" s="19">
        <v>142602.47</v>
      </c>
      <c r="F63" s="19">
        <v>222401.75</v>
      </c>
      <c r="G63" s="19">
        <v>16276.700000000012</v>
      </c>
      <c r="H63" s="19">
        <v>-327.17999999999302</v>
      </c>
      <c r="I63" s="19">
        <v>26599.350000000006</v>
      </c>
      <c r="J63" s="19">
        <f t="shared" si="3"/>
        <v>13304.600000000006</v>
      </c>
      <c r="K63" s="19">
        <f t="shared" si="4"/>
        <v>186857</v>
      </c>
      <c r="L63" s="19">
        <v>716</v>
      </c>
      <c r="M63" s="19">
        <v>142</v>
      </c>
      <c r="N63" s="19">
        <f t="shared" si="5"/>
        <v>3714</v>
      </c>
      <c r="O63" s="19">
        <f t="shared" si="6"/>
        <v>190571</v>
      </c>
      <c r="P63" s="19">
        <v>209107</v>
      </c>
      <c r="Q63" s="19">
        <f t="shared" si="7"/>
        <v>-22250</v>
      </c>
      <c r="R63" s="19">
        <v>3688</v>
      </c>
      <c r="S63" s="19">
        <f t="shared" si="8"/>
        <v>26</v>
      </c>
    </row>
    <row r="64" spans="1:19" x14ac:dyDescent="0.25">
      <c r="A64" s="28" t="s">
        <v>13</v>
      </c>
      <c r="B64" s="29" t="s">
        <v>198</v>
      </c>
      <c r="C64" s="19">
        <v>26689.08</v>
      </c>
      <c r="D64" s="19">
        <v>27012</v>
      </c>
      <c r="E64" s="19">
        <v>26341.91</v>
      </c>
      <c r="F64" s="19">
        <v>151853.76999999999</v>
      </c>
      <c r="G64" s="19">
        <v>-3322.8400000000038</v>
      </c>
      <c r="H64" s="19">
        <v>108.15999999999622</v>
      </c>
      <c r="I64" s="19">
        <v>1629.2499999999964</v>
      </c>
      <c r="J64" s="19">
        <f t="shared" si="3"/>
        <v>11030.48000000001</v>
      </c>
      <c r="K64" s="19">
        <f t="shared" si="4"/>
        <v>125638</v>
      </c>
      <c r="L64" s="19">
        <v>486</v>
      </c>
      <c r="M64" s="19">
        <v>229</v>
      </c>
      <c r="N64" s="19">
        <f t="shared" si="5"/>
        <v>1663</v>
      </c>
      <c r="O64" s="19">
        <f t="shared" si="6"/>
        <v>127301</v>
      </c>
      <c r="P64" s="19">
        <v>161255</v>
      </c>
      <c r="Q64" s="19">
        <f t="shared" si="7"/>
        <v>-35617</v>
      </c>
      <c r="R64" s="19">
        <v>2233</v>
      </c>
      <c r="S64" s="19">
        <f t="shared" si="8"/>
        <v>-570</v>
      </c>
    </row>
    <row r="65" spans="1:19" x14ac:dyDescent="0.25">
      <c r="A65" s="28" t="s">
        <v>13</v>
      </c>
      <c r="B65" s="29" t="s">
        <v>599</v>
      </c>
      <c r="C65" s="19">
        <v>22389.8</v>
      </c>
      <c r="D65" s="19">
        <v>19161.16</v>
      </c>
      <c r="E65" s="19">
        <v>15135.72</v>
      </c>
      <c r="F65" s="19">
        <v>77063.81</v>
      </c>
      <c r="G65" s="19">
        <v>16120.560000000001</v>
      </c>
      <c r="H65" s="19">
        <v>4380.4000000000015</v>
      </c>
      <c r="I65" s="19">
        <v>4717.6800000000021</v>
      </c>
      <c r="J65" s="19">
        <f t="shared" si="3"/>
        <v>8001.8700000000099</v>
      </c>
      <c r="K65" s="19">
        <f t="shared" si="4"/>
        <v>61356</v>
      </c>
      <c r="L65" s="19">
        <v>216</v>
      </c>
      <c r="M65" s="19">
        <v>110</v>
      </c>
      <c r="N65" s="19">
        <f t="shared" si="5"/>
        <v>686</v>
      </c>
      <c r="O65" s="19">
        <f t="shared" si="6"/>
        <v>62042</v>
      </c>
      <c r="P65" s="19">
        <v>80348</v>
      </c>
      <c r="Q65" s="19">
        <f t="shared" si="7"/>
        <v>-18992</v>
      </c>
      <c r="R65" s="19">
        <v>1093</v>
      </c>
      <c r="S65" s="19">
        <f t="shared" si="8"/>
        <v>-407</v>
      </c>
    </row>
    <row r="66" spans="1:19" x14ac:dyDescent="0.25">
      <c r="A66" s="28" t="s">
        <v>13</v>
      </c>
      <c r="B66" s="29" t="s">
        <v>192</v>
      </c>
      <c r="C66" s="19">
        <v>5284.05</v>
      </c>
      <c r="D66" s="19">
        <v>1888.17</v>
      </c>
      <c r="E66" s="19">
        <v>2880.98</v>
      </c>
      <c r="F66" s="19">
        <v>30501.69</v>
      </c>
      <c r="G66" s="19">
        <v>4178.7699999999995</v>
      </c>
      <c r="H66" s="19">
        <v>3395.5999999999995</v>
      </c>
      <c r="I66" s="19">
        <v>1080.6199999999994</v>
      </c>
      <c r="J66" s="19">
        <f t="shared" si="3"/>
        <v>10139.930000000004</v>
      </c>
      <c r="K66" s="19">
        <f t="shared" si="4"/>
        <v>17312</v>
      </c>
      <c r="L66" s="19">
        <v>102</v>
      </c>
      <c r="M66" s="19">
        <v>49</v>
      </c>
      <c r="N66" s="19">
        <f t="shared" si="5"/>
        <v>343</v>
      </c>
      <c r="O66" s="19">
        <f t="shared" si="6"/>
        <v>17655</v>
      </c>
      <c r="P66" s="19">
        <v>39561</v>
      </c>
      <c r="Q66" s="19">
        <f t="shared" si="7"/>
        <v>-22249</v>
      </c>
      <c r="R66" s="19">
        <v>386</v>
      </c>
      <c r="S66" s="19">
        <f t="shared" si="8"/>
        <v>-43</v>
      </c>
    </row>
    <row r="67" spans="1:19" x14ac:dyDescent="0.25">
      <c r="A67" s="28" t="s">
        <v>13</v>
      </c>
      <c r="B67" s="29" t="s">
        <v>186</v>
      </c>
      <c r="C67" s="19">
        <v>8118.47</v>
      </c>
      <c r="D67" s="19">
        <v>5592.38</v>
      </c>
      <c r="E67" s="19">
        <v>5517.23</v>
      </c>
      <c r="F67" s="19">
        <v>25335.88</v>
      </c>
      <c r="G67" s="19">
        <v>6003.6399999999985</v>
      </c>
      <c r="H67" s="19">
        <v>2526.2599999999984</v>
      </c>
      <c r="I67" s="19">
        <v>2093.0299999999988</v>
      </c>
      <c r="J67" s="19">
        <f t="shared" si="3"/>
        <v>4116.1499999999978</v>
      </c>
      <c r="K67" s="19">
        <f t="shared" si="4"/>
        <v>18686</v>
      </c>
      <c r="L67" s="19">
        <v>75</v>
      </c>
      <c r="M67" s="19">
        <v>20</v>
      </c>
      <c r="N67" s="19">
        <f t="shared" si="5"/>
        <v>356</v>
      </c>
      <c r="O67" s="19">
        <f t="shared" si="6"/>
        <v>19042</v>
      </c>
      <c r="P67" s="19">
        <v>27359</v>
      </c>
      <c r="Q67" s="19">
        <f t="shared" si="7"/>
        <v>-8673</v>
      </c>
      <c r="R67" s="19">
        <v>434</v>
      </c>
      <c r="S67" s="19">
        <f t="shared" si="8"/>
        <v>-78</v>
      </c>
    </row>
    <row r="68" spans="1:19" x14ac:dyDescent="0.25">
      <c r="A68" s="28" t="s">
        <v>13</v>
      </c>
      <c r="B68" s="29" t="s">
        <v>184</v>
      </c>
      <c r="C68" s="19">
        <v>27177.49</v>
      </c>
      <c r="D68" s="19">
        <v>32000.62</v>
      </c>
      <c r="E68" s="19">
        <v>33421.839999999997</v>
      </c>
      <c r="F68" s="19">
        <v>70463.38</v>
      </c>
      <c r="G68" s="19">
        <v>19837.210000000003</v>
      </c>
      <c r="H68" s="19">
        <v>3093.5900000000074</v>
      </c>
      <c r="I68" s="19">
        <v>8871.7500000000146</v>
      </c>
      <c r="J68" s="19">
        <f t="shared" si="3"/>
        <v>1660.3700000000099</v>
      </c>
      <c r="K68" s="19">
        <f t="shared" si="4"/>
        <v>61757</v>
      </c>
      <c r="L68" s="19">
        <v>286</v>
      </c>
      <c r="M68" s="19">
        <v>35</v>
      </c>
      <c r="N68" s="19">
        <f t="shared" si="5"/>
        <v>1624</v>
      </c>
      <c r="O68" s="19">
        <f t="shared" ref="O68:O82" si="9">N68+K68</f>
        <v>63381</v>
      </c>
      <c r="P68" s="19">
        <v>63252</v>
      </c>
      <c r="Q68" s="19">
        <f t="shared" ref="Q68:Q82" si="10">K68-P68</f>
        <v>-1495</v>
      </c>
      <c r="R68" s="19">
        <v>1242</v>
      </c>
      <c r="S68" s="19">
        <f t="shared" ref="S68:S82" si="11">N68-R68</f>
        <v>382</v>
      </c>
    </row>
    <row r="69" spans="1:19" x14ac:dyDescent="0.25">
      <c r="A69" s="28" t="s">
        <v>13</v>
      </c>
      <c r="B69" s="29" t="s">
        <v>174</v>
      </c>
      <c r="C69" s="19">
        <v>35808.400000000001</v>
      </c>
      <c r="D69" s="19">
        <v>55626.77</v>
      </c>
      <c r="E69" s="19">
        <v>69070.600000000006</v>
      </c>
      <c r="F69" s="19">
        <v>199759.35999999999</v>
      </c>
      <c r="G69" s="19">
        <v>5910.4200000000055</v>
      </c>
      <c r="H69" s="19">
        <v>-846.34999999999127</v>
      </c>
      <c r="I69" s="19">
        <v>7348.0500000000029</v>
      </c>
      <c r="J69" s="19">
        <f t="shared" ref="J69:J82" si="12">I69+P69-F69</f>
        <v>32241.690000000002</v>
      </c>
      <c r="K69" s="19">
        <f t="shared" ref="K69:K82" si="13">ROUND(IF(F69*K$87-J69&lt;0,0,F69*K$87-J69),0)</f>
        <v>147542</v>
      </c>
      <c r="L69" s="19">
        <v>619</v>
      </c>
      <c r="M69" s="19">
        <v>201</v>
      </c>
      <c r="N69" s="19">
        <f t="shared" ref="N69:N82" si="14">ROUND((L69-M69)*N$87,0)</f>
        <v>2704</v>
      </c>
      <c r="O69" s="19">
        <f t="shared" si="9"/>
        <v>150246</v>
      </c>
      <c r="P69" s="19">
        <v>224653</v>
      </c>
      <c r="Q69" s="19">
        <f t="shared" si="10"/>
        <v>-77111</v>
      </c>
      <c r="R69" s="19">
        <v>3148</v>
      </c>
      <c r="S69" s="19">
        <f t="shared" si="11"/>
        <v>-444</v>
      </c>
    </row>
    <row r="70" spans="1:19" x14ac:dyDescent="0.25">
      <c r="A70" s="28" t="s">
        <v>13</v>
      </c>
      <c r="B70" s="29" t="s">
        <v>15</v>
      </c>
      <c r="C70" s="19">
        <v>1343935.94</v>
      </c>
      <c r="D70" s="19">
        <v>1424971.78</v>
      </c>
      <c r="E70" s="19">
        <v>1493862.57</v>
      </c>
      <c r="F70" s="19">
        <v>2906712.31</v>
      </c>
      <c r="G70" s="19">
        <v>94194.310000000056</v>
      </c>
      <c r="H70" s="19">
        <v>12628.530000000028</v>
      </c>
      <c r="I70" s="19">
        <v>94092.959999999963</v>
      </c>
      <c r="J70" s="19">
        <f t="shared" si="12"/>
        <v>45663.649999999907</v>
      </c>
      <c r="K70" s="19">
        <f t="shared" si="13"/>
        <v>2570377</v>
      </c>
      <c r="L70" s="19">
        <v>7440</v>
      </c>
      <c r="M70" s="19">
        <v>1610</v>
      </c>
      <c r="N70" s="19">
        <f t="shared" si="14"/>
        <v>37720</v>
      </c>
      <c r="O70" s="19">
        <f t="shared" si="9"/>
        <v>2608097</v>
      </c>
      <c r="P70" s="19">
        <v>2858283</v>
      </c>
      <c r="Q70" s="19">
        <f t="shared" si="10"/>
        <v>-287906</v>
      </c>
      <c r="R70" s="19">
        <v>38010</v>
      </c>
      <c r="S70" s="19">
        <f t="shared" si="11"/>
        <v>-290</v>
      </c>
    </row>
    <row r="71" spans="1:19" x14ac:dyDescent="0.25">
      <c r="A71" s="28" t="s">
        <v>10</v>
      </c>
      <c r="B71" s="29" t="s">
        <v>154</v>
      </c>
      <c r="C71" s="19">
        <v>72687.19</v>
      </c>
      <c r="D71" s="19">
        <v>59404.95</v>
      </c>
      <c r="E71" s="19">
        <v>63515.83</v>
      </c>
      <c r="F71" s="19">
        <v>251364.14</v>
      </c>
      <c r="G71" s="19">
        <v>14881.259999999995</v>
      </c>
      <c r="H71" s="19">
        <v>13282.309999999998</v>
      </c>
      <c r="I71" s="19">
        <v>3998.4799999999959</v>
      </c>
      <c r="J71" s="19">
        <f t="shared" si="12"/>
        <v>61575.339999999967</v>
      </c>
      <c r="K71" s="19">
        <f t="shared" si="13"/>
        <v>164652</v>
      </c>
      <c r="L71" s="19">
        <v>647</v>
      </c>
      <c r="M71" s="19">
        <v>355</v>
      </c>
      <c r="N71" s="19">
        <f t="shared" si="14"/>
        <v>1889</v>
      </c>
      <c r="O71" s="19">
        <f t="shared" si="9"/>
        <v>166541</v>
      </c>
      <c r="P71" s="19">
        <v>308941</v>
      </c>
      <c r="Q71" s="19">
        <f t="shared" si="10"/>
        <v>-144289</v>
      </c>
      <c r="R71" s="19">
        <v>3380</v>
      </c>
      <c r="S71" s="19">
        <f t="shared" si="11"/>
        <v>-1491</v>
      </c>
    </row>
    <row r="72" spans="1:19" x14ac:dyDescent="0.25">
      <c r="A72" s="28" t="s">
        <v>10</v>
      </c>
      <c r="B72" s="29" t="s">
        <v>600</v>
      </c>
      <c r="C72" s="19">
        <v>92429.79</v>
      </c>
      <c r="D72" s="19">
        <v>95917.79</v>
      </c>
      <c r="E72" s="19">
        <v>90141.14</v>
      </c>
      <c r="F72" s="19">
        <v>378426.34</v>
      </c>
      <c r="G72" s="19">
        <v>6686.75</v>
      </c>
      <c r="H72" s="19">
        <v>9255.9600000000064</v>
      </c>
      <c r="I72" s="19">
        <v>5776.820000000007</v>
      </c>
      <c r="J72" s="19">
        <f t="shared" si="12"/>
        <v>18820.479999999981</v>
      </c>
      <c r="K72" s="19">
        <f t="shared" si="13"/>
        <v>321763</v>
      </c>
      <c r="L72" s="19">
        <v>1154</v>
      </c>
      <c r="M72" s="19">
        <v>501</v>
      </c>
      <c r="N72" s="19">
        <f t="shared" si="14"/>
        <v>4225</v>
      </c>
      <c r="O72" s="19">
        <f t="shared" si="9"/>
        <v>325988</v>
      </c>
      <c r="P72" s="19">
        <v>391470</v>
      </c>
      <c r="Q72" s="19">
        <f t="shared" si="10"/>
        <v>-69707</v>
      </c>
      <c r="R72" s="19">
        <v>6100</v>
      </c>
      <c r="S72" s="19">
        <f t="shared" si="11"/>
        <v>-1875</v>
      </c>
    </row>
    <row r="73" spans="1:19" x14ac:dyDescent="0.25">
      <c r="A73" s="28" t="s">
        <v>10</v>
      </c>
      <c r="B73" s="29" t="s">
        <v>601</v>
      </c>
      <c r="C73" s="19">
        <v>695861.44</v>
      </c>
      <c r="D73" s="19">
        <v>658748.30000000005</v>
      </c>
      <c r="E73" s="19">
        <v>601651.26</v>
      </c>
      <c r="F73" s="19">
        <v>1114941.33</v>
      </c>
      <c r="G73" s="19">
        <v>13935.719999999972</v>
      </c>
      <c r="H73" s="19">
        <v>37113.419999999925</v>
      </c>
      <c r="I73" s="19">
        <v>63925.159999999916</v>
      </c>
      <c r="J73" s="19">
        <f t="shared" si="12"/>
        <v>38806.829999999842</v>
      </c>
      <c r="K73" s="19">
        <f t="shared" si="13"/>
        <v>964640</v>
      </c>
      <c r="L73" s="19">
        <v>3406</v>
      </c>
      <c r="M73" s="19">
        <v>540</v>
      </c>
      <c r="N73" s="19">
        <f t="shared" si="14"/>
        <v>18543</v>
      </c>
      <c r="O73" s="19">
        <f t="shared" si="9"/>
        <v>983183</v>
      </c>
      <c r="P73" s="19">
        <v>1089823</v>
      </c>
      <c r="Q73" s="19">
        <f t="shared" si="10"/>
        <v>-125183</v>
      </c>
      <c r="R73" s="19">
        <v>18254</v>
      </c>
      <c r="S73" s="19">
        <f t="shared" si="11"/>
        <v>289</v>
      </c>
    </row>
    <row r="74" spans="1:19" x14ac:dyDescent="0.25">
      <c r="A74" s="28" t="s">
        <v>6</v>
      </c>
      <c r="B74" s="29" t="s">
        <v>602</v>
      </c>
      <c r="C74" s="19">
        <v>66510.22</v>
      </c>
      <c r="D74" s="19">
        <v>87989.84</v>
      </c>
      <c r="E74" s="19">
        <v>86046.82</v>
      </c>
      <c r="F74" s="19">
        <v>148039.67999999999</v>
      </c>
      <c r="G74" s="19">
        <v>4464.1699999999983</v>
      </c>
      <c r="H74" s="19">
        <v>-3343.6699999999983</v>
      </c>
      <c r="I74" s="19">
        <v>17688.509999999995</v>
      </c>
      <c r="J74" s="19">
        <f t="shared" si="12"/>
        <v>6188.8300000000163</v>
      </c>
      <c r="K74" s="19">
        <f t="shared" si="13"/>
        <v>127047</v>
      </c>
      <c r="L74" s="19">
        <v>563</v>
      </c>
      <c r="M74" s="19">
        <v>62</v>
      </c>
      <c r="N74" s="19">
        <f t="shared" si="14"/>
        <v>3241</v>
      </c>
      <c r="O74" s="19">
        <f t="shared" si="9"/>
        <v>130288</v>
      </c>
      <c r="P74" s="19">
        <v>136540</v>
      </c>
      <c r="Q74" s="19">
        <f t="shared" si="10"/>
        <v>-9493</v>
      </c>
      <c r="R74" s="19">
        <v>2863</v>
      </c>
      <c r="S74" s="19">
        <f t="shared" si="11"/>
        <v>378</v>
      </c>
    </row>
    <row r="75" spans="1:19" x14ac:dyDescent="0.25">
      <c r="A75" s="28" t="s">
        <v>6</v>
      </c>
      <c r="B75" s="29" t="s">
        <v>603</v>
      </c>
      <c r="C75" s="19">
        <v>84493.119999999995</v>
      </c>
      <c r="D75" s="19">
        <v>63673.3</v>
      </c>
      <c r="E75" s="19">
        <v>67609.42</v>
      </c>
      <c r="F75" s="19">
        <v>203114.33</v>
      </c>
      <c r="G75" s="19">
        <v>8833.3100000000122</v>
      </c>
      <c r="H75" s="19">
        <v>20820.010000000009</v>
      </c>
      <c r="I75" s="19">
        <v>20468.590000000011</v>
      </c>
      <c r="J75" s="19">
        <f t="shared" si="12"/>
        <v>28506.260000000038</v>
      </c>
      <c r="K75" s="19">
        <f t="shared" si="13"/>
        <v>154297</v>
      </c>
      <c r="L75" s="19">
        <v>525</v>
      </c>
      <c r="M75" s="19">
        <v>219</v>
      </c>
      <c r="N75" s="19">
        <f t="shared" si="14"/>
        <v>1980</v>
      </c>
      <c r="O75" s="19">
        <f t="shared" si="9"/>
        <v>156277</v>
      </c>
      <c r="P75" s="19">
        <v>211152</v>
      </c>
      <c r="Q75" s="19">
        <f t="shared" si="10"/>
        <v>-56855</v>
      </c>
      <c r="R75" s="19">
        <v>2762</v>
      </c>
      <c r="S75" s="19">
        <f t="shared" si="11"/>
        <v>-782</v>
      </c>
    </row>
    <row r="76" spans="1:19" x14ac:dyDescent="0.25">
      <c r="A76" s="28" t="s">
        <v>6</v>
      </c>
      <c r="B76" s="29" t="s">
        <v>117</v>
      </c>
      <c r="C76" s="19">
        <v>46856.59</v>
      </c>
      <c r="D76" s="19">
        <v>42516.34</v>
      </c>
      <c r="E76" s="19">
        <v>34824.339999999997</v>
      </c>
      <c r="F76" s="19">
        <v>81650.600000000006</v>
      </c>
      <c r="G76" s="19">
        <v>46576.759999999995</v>
      </c>
      <c r="H76" s="19">
        <v>4340.4199999999983</v>
      </c>
      <c r="I76" s="19">
        <v>14281.080000000002</v>
      </c>
      <c r="J76" s="19">
        <f t="shared" si="12"/>
        <v>2212.4799999999959</v>
      </c>
      <c r="K76" s="19">
        <f t="shared" si="13"/>
        <v>71273</v>
      </c>
      <c r="L76" s="19">
        <v>331</v>
      </c>
      <c r="M76" s="19">
        <v>101</v>
      </c>
      <c r="N76" s="19">
        <f t="shared" si="14"/>
        <v>1488</v>
      </c>
      <c r="O76" s="19">
        <f t="shared" si="9"/>
        <v>72761</v>
      </c>
      <c r="P76" s="19">
        <v>69582</v>
      </c>
      <c r="Q76" s="19">
        <f t="shared" si="10"/>
        <v>1691</v>
      </c>
      <c r="R76" s="19">
        <v>1675</v>
      </c>
      <c r="S76" s="19">
        <f t="shared" si="11"/>
        <v>-187</v>
      </c>
    </row>
    <row r="77" spans="1:19" x14ac:dyDescent="0.25">
      <c r="A77" s="28" t="s">
        <v>6</v>
      </c>
      <c r="B77" s="29" t="s">
        <v>5</v>
      </c>
      <c r="C77" s="19">
        <v>140737.94</v>
      </c>
      <c r="D77" s="19">
        <v>110645.31</v>
      </c>
      <c r="E77" s="19">
        <v>109971.8</v>
      </c>
      <c r="F77" s="19">
        <v>280363.01</v>
      </c>
      <c r="G77" s="19">
        <v>29930.97</v>
      </c>
      <c r="H77" s="19">
        <v>30092.660000000003</v>
      </c>
      <c r="I77" s="19">
        <v>3769.8600000000006</v>
      </c>
      <c r="J77" s="19">
        <f t="shared" si="12"/>
        <v>535.84999999997672</v>
      </c>
      <c r="K77" s="19">
        <f t="shared" si="13"/>
        <v>251791</v>
      </c>
      <c r="L77" s="19">
        <v>911</v>
      </c>
      <c r="M77" s="19">
        <v>179</v>
      </c>
      <c r="N77" s="19">
        <f t="shared" si="14"/>
        <v>4736</v>
      </c>
      <c r="O77" s="19">
        <f t="shared" si="9"/>
        <v>256527</v>
      </c>
      <c r="P77" s="19">
        <v>277129</v>
      </c>
      <c r="Q77" s="19">
        <f t="shared" si="10"/>
        <v>-25338</v>
      </c>
      <c r="R77" s="19">
        <v>4009</v>
      </c>
      <c r="S77" s="19">
        <f t="shared" si="11"/>
        <v>727</v>
      </c>
    </row>
    <row r="78" spans="1:19" x14ac:dyDescent="0.25">
      <c r="A78" s="28" t="s">
        <v>1</v>
      </c>
      <c r="B78" s="29" t="s">
        <v>114</v>
      </c>
      <c r="C78" s="19">
        <v>44806.06</v>
      </c>
      <c r="D78" s="19">
        <v>33548.97</v>
      </c>
      <c r="E78" s="19">
        <v>33920.870000000003</v>
      </c>
      <c r="F78" s="19">
        <v>44728.6</v>
      </c>
      <c r="G78" s="19">
        <v>17626.48000000001</v>
      </c>
      <c r="H78" s="19">
        <v>11257.510000000009</v>
      </c>
      <c r="I78" s="19">
        <v>3839.6400000000067</v>
      </c>
      <c r="J78" s="19">
        <f t="shared" si="12"/>
        <v>4240.0400000000081</v>
      </c>
      <c r="K78" s="19">
        <f t="shared" si="13"/>
        <v>36016</v>
      </c>
      <c r="L78" s="19">
        <v>184</v>
      </c>
      <c r="M78" s="19">
        <v>0</v>
      </c>
      <c r="N78" s="19">
        <f t="shared" si="14"/>
        <v>1190</v>
      </c>
      <c r="O78" s="19">
        <f t="shared" si="9"/>
        <v>37206</v>
      </c>
      <c r="P78" s="19">
        <v>45129</v>
      </c>
      <c r="Q78" s="19">
        <f t="shared" si="10"/>
        <v>-9113</v>
      </c>
      <c r="R78" s="19">
        <v>1022</v>
      </c>
      <c r="S78" s="19">
        <f t="shared" si="11"/>
        <v>168</v>
      </c>
    </row>
    <row r="79" spans="1:19" x14ac:dyDescent="0.25">
      <c r="A79" s="28" t="s">
        <v>1</v>
      </c>
      <c r="B79" s="29" t="s">
        <v>102</v>
      </c>
      <c r="C79" s="19">
        <v>97398.65</v>
      </c>
      <c r="D79" s="19">
        <v>88898.9</v>
      </c>
      <c r="E79" s="19">
        <v>70233.59</v>
      </c>
      <c r="F79" s="19">
        <v>110279.05</v>
      </c>
      <c r="G79" s="19">
        <v>6363.8499999999913</v>
      </c>
      <c r="H79" s="19">
        <v>8499.9499999999971</v>
      </c>
      <c r="I79" s="19">
        <v>18665.36</v>
      </c>
      <c r="J79" s="19">
        <f t="shared" si="12"/>
        <v>19216.309999999998</v>
      </c>
      <c r="K79" s="19">
        <f t="shared" si="13"/>
        <v>80035</v>
      </c>
      <c r="L79" s="19">
        <v>470</v>
      </c>
      <c r="M79" s="19">
        <v>80</v>
      </c>
      <c r="N79" s="19">
        <f t="shared" si="14"/>
        <v>2523</v>
      </c>
      <c r="O79" s="19">
        <f t="shared" si="9"/>
        <v>82558</v>
      </c>
      <c r="P79" s="19">
        <v>110830</v>
      </c>
      <c r="Q79" s="19">
        <f t="shared" si="10"/>
        <v>-30795</v>
      </c>
      <c r="R79" s="19">
        <v>2691</v>
      </c>
      <c r="S79" s="19">
        <f t="shared" si="11"/>
        <v>-168</v>
      </c>
    </row>
    <row r="80" spans="1:19" x14ac:dyDescent="0.25">
      <c r="A80" s="28" t="s">
        <v>1</v>
      </c>
      <c r="B80" s="29" t="s">
        <v>604</v>
      </c>
      <c r="C80" s="19">
        <v>95141.56</v>
      </c>
      <c r="D80" s="19">
        <v>96659.51</v>
      </c>
      <c r="E80" s="19">
        <v>99551.03</v>
      </c>
      <c r="F80" s="19">
        <v>149273.69</v>
      </c>
      <c r="G80" s="19">
        <v>34765.78</v>
      </c>
      <c r="H80" s="19">
        <v>3442.2700000000041</v>
      </c>
      <c r="I80" s="19">
        <v>23042.240000000005</v>
      </c>
      <c r="J80" s="19">
        <f t="shared" si="12"/>
        <v>-2752.4500000000116</v>
      </c>
      <c r="K80" s="19">
        <f t="shared" si="13"/>
        <v>137099</v>
      </c>
      <c r="L80" s="19">
        <v>403</v>
      </c>
      <c r="M80" s="19">
        <v>0</v>
      </c>
      <c r="N80" s="19">
        <f t="shared" si="14"/>
        <v>2607</v>
      </c>
      <c r="O80" s="19">
        <f t="shared" si="9"/>
        <v>139706</v>
      </c>
      <c r="P80" s="19">
        <v>123479</v>
      </c>
      <c r="Q80" s="19">
        <f t="shared" si="10"/>
        <v>13620</v>
      </c>
      <c r="R80" s="19">
        <v>2257</v>
      </c>
      <c r="S80" s="19">
        <f t="shared" si="11"/>
        <v>350</v>
      </c>
    </row>
    <row r="81" spans="1:19" x14ac:dyDescent="0.25">
      <c r="A81" s="28" t="s">
        <v>1</v>
      </c>
      <c r="B81" s="29" t="s">
        <v>92</v>
      </c>
      <c r="C81" s="19">
        <v>238422.41</v>
      </c>
      <c r="D81" s="19">
        <v>214429.48</v>
      </c>
      <c r="E81" s="19">
        <v>134409.85</v>
      </c>
      <c r="F81" s="19">
        <v>223612.57</v>
      </c>
      <c r="G81" s="19">
        <v>34753.409999999945</v>
      </c>
      <c r="H81" s="19">
        <v>23992.929999999935</v>
      </c>
      <c r="I81" s="19">
        <v>80020.079999999929</v>
      </c>
      <c r="J81" s="19">
        <f t="shared" si="12"/>
        <v>5840.509999999922</v>
      </c>
      <c r="K81" s="19">
        <f t="shared" si="13"/>
        <v>195411</v>
      </c>
      <c r="L81" s="19">
        <v>789</v>
      </c>
      <c r="M81" s="19">
        <v>56</v>
      </c>
      <c r="N81" s="19">
        <f t="shared" si="14"/>
        <v>4743</v>
      </c>
      <c r="O81" s="19">
        <f t="shared" si="9"/>
        <v>200154</v>
      </c>
      <c r="P81" s="19">
        <v>149433</v>
      </c>
      <c r="Q81" s="19">
        <f t="shared" si="10"/>
        <v>45978</v>
      </c>
      <c r="R81" s="19">
        <v>4188</v>
      </c>
      <c r="S81" s="19">
        <f t="shared" si="11"/>
        <v>555</v>
      </c>
    </row>
    <row r="82" spans="1:19" x14ac:dyDescent="0.25">
      <c r="A82" s="28" t="s">
        <v>1</v>
      </c>
      <c r="B82" s="29" t="s">
        <v>0</v>
      </c>
      <c r="C82" s="19">
        <v>271385.42</v>
      </c>
      <c r="D82" s="19">
        <v>258453.39</v>
      </c>
      <c r="E82" s="19">
        <v>244286.54</v>
      </c>
      <c r="F82" s="19">
        <v>635445.5</v>
      </c>
      <c r="G82" s="19">
        <v>48109.169999999984</v>
      </c>
      <c r="H82" s="19">
        <v>12931.77999999997</v>
      </c>
      <c r="I82" s="19">
        <v>32193.239999999962</v>
      </c>
      <c r="J82" s="19">
        <f t="shared" si="12"/>
        <v>18961.739999999991</v>
      </c>
      <c r="K82" s="19">
        <f t="shared" si="13"/>
        <v>552939</v>
      </c>
      <c r="L82" s="19">
        <v>1948</v>
      </c>
      <c r="M82" s="19">
        <v>611</v>
      </c>
      <c r="N82" s="19">
        <f t="shared" si="14"/>
        <v>8650</v>
      </c>
      <c r="O82" s="19">
        <f t="shared" si="9"/>
        <v>561589</v>
      </c>
      <c r="P82" s="19">
        <v>622214</v>
      </c>
      <c r="Q82" s="19">
        <f t="shared" si="10"/>
        <v>-69275</v>
      </c>
      <c r="R82" s="19">
        <v>10015</v>
      </c>
      <c r="S82" s="19">
        <f t="shared" si="11"/>
        <v>-1365</v>
      </c>
    </row>
    <row r="83" spans="1:19" x14ac:dyDescent="0.25">
      <c r="A83" s="204" t="s">
        <v>512</v>
      </c>
      <c r="B83" s="204"/>
      <c r="C83" s="46">
        <f>SUM(C4:C82)</f>
        <v>15952817.540000003</v>
      </c>
      <c r="D83" s="46">
        <f>SUM(D4:D82)</f>
        <v>15903942.820000002</v>
      </c>
      <c r="E83" s="46">
        <f>SUM(E4:E82)</f>
        <v>16166779.43</v>
      </c>
      <c r="F83" s="46">
        <f>SUM(F4:F82)</f>
        <v>39873829.5</v>
      </c>
      <c r="G83" s="46">
        <f t="shared" ref="G83:K83" si="15">SUM(G4:G82)</f>
        <v>2402395.7800000007</v>
      </c>
      <c r="H83" s="46">
        <f t="shared" si="15"/>
        <v>1028727.9600000004</v>
      </c>
      <c r="I83" s="46">
        <f t="shared" si="15"/>
        <v>1888454.530000001</v>
      </c>
      <c r="J83" s="46">
        <f t="shared" si="15"/>
        <v>1357560.0300000005</v>
      </c>
      <c r="K83" s="46">
        <f t="shared" si="15"/>
        <v>34532432</v>
      </c>
      <c r="L83" s="46">
        <f t="shared" ref="L83:N83" si="16">SUM(L4:L82)</f>
        <v>117877</v>
      </c>
      <c r="M83" s="46">
        <f t="shared" si="16"/>
        <v>34648</v>
      </c>
      <c r="N83" s="46">
        <f t="shared" si="16"/>
        <v>538493</v>
      </c>
      <c r="O83" s="46">
        <f t="shared" ref="O83" si="17">SUM(O4:O82)</f>
        <v>35070925</v>
      </c>
      <c r="P83" s="46">
        <f t="shared" ref="P83:S83" si="18">SUM(P4:P82)</f>
        <v>39342935</v>
      </c>
      <c r="Q83" s="46">
        <f t="shared" si="18"/>
        <v>-4810503</v>
      </c>
      <c r="R83" s="46">
        <f t="shared" si="18"/>
        <v>599709</v>
      </c>
      <c r="S83" s="46">
        <f t="shared" si="18"/>
        <v>-61216</v>
      </c>
    </row>
    <row r="84" spans="1:19" x14ac:dyDescent="0.25">
      <c r="C84" s="80"/>
      <c r="D84" s="80">
        <f>D83/C83-1</f>
        <v>-3.0637045698951315E-3</v>
      </c>
      <c r="E84" s="80">
        <f>E83/D83-1</f>
        <v>1.6526506223945026E-2</v>
      </c>
      <c r="F84" s="80">
        <f>F83/E83-1</f>
        <v>1.4664052399952858</v>
      </c>
      <c r="N84" t="s">
        <v>775</v>
      </c>
      <c r="O84" s="2">
        <f>KOOND!P86</f>
        <v>38464502</v>
      </c>
    </row>
    <row r="85" spans="1:19" x14ac:dyDescent="0.25">
      <c r="G85" t="s">
        <v>745</v>
      </c>
      <c r="H85" s="2">
        <f>SUMIF(H4:H82,"&lt;0")</f>
        <v>-129631.6799999995</v>
      </c>
      <c r="I85" s="2">
        <f>SUMIF(I4:I82,"&lt;0")</f>
        <v>-3095.4399999999987</v>
      </c>
      <c r="J85" s="2">
        <f>SUMIF(J4:J82,"&lt;0")</f>
        <v>-57587.139999999978</v>
      </c>
      <c r="N85" t="s">
        <v>531</v>
      </c>
      <c r="O85" s="2">
        <f>O84-O83</f>
        <v>3393577</v>
      </c>
    </row>
    <row r="87" spans="1:19" x14ac:dyDescent="0.25">
      <c r="H87" s="47"/>
      <c r="I87" s="47"/>
      <c r="J87" s="47"/>
      <c r="K87" s="109">
        <v>0.9</v>
      </c>
      <c r="N87" s="108">
        <v>6.47</v>
      </c>
    </row>
  </sheetData>
  <mergeCells count="14">
    <mergeCell ref="S1:S3"/>
    <mergeCell ref="Q1:Q3"/>
    <mergeCell ref="R1:R3"/>
    <mergeCell ref="A83:B83"/>
    <mergeCell ref="K1:K3"/>
    <mergeCell ref="P1:P3"/>
    <mergeCell ref="N1:N3"/>
    <mergeCell ref="O1:O3"/>
    <mergeCell ref="A1:A3"/>
    <mergeCell ref="B1:B3"/>
    <mergeCell ref="L1:L3"/>
    <mergeCell ref="C1:F2"/>
    <mergeCell ref="G1:J2"/>
    <mergeCell ref="M1:M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04"/>
  <sheetViews>
    <sheetView workbookViewId="0">
      <pane xSplit="2" ySplit="3" topLeftCell="C29" activePane="bottomRight" state="frozen"/>
      <selection pane="topRight" activeCell="D1" sqref="D1"/>
      <selection pane="bottomLeft" activeCell="A4" sqref="A4"/>
      <selection pane="bottomRight" activeCell="T88" sqref="T88"/>
    </sheetView>
  </sheetViews>
  <sheetFormatPr defaultColWidth="9.109375" defaultRowHeight="13.2" x14ac:dyDescent="0.25"/>
  <cols>
    <col min="1" max="1" width="9.5546875" style="27" bestFit="1" customWidth="1"/>
    <col min="2" max="2" width="18.6640625" style="27" customWidth="1"/>
    <col min="3" max="3" width="14" style="27" bestFit="1" customWidth="1"/>
    <col min="4" max="4" width="13.44140625" style="27" bestFit="1" customWidth="1"/>
    <col min="5" max="5" width="9.6640625" style="27" bestFit="1" customWidth="1"/>
    <col min="6" max="6" width="12.6640625" style="27" bestFit="1" customWidth="1"/>
    <col min="7" max="7" width="9.88671875" style="27" customWidth="1"/>
    <col min="8" max="13" width="11.44140625" style="27" customWidth="1"/>
    <col min="14" max="14" width="8.77734375" style="27" bestFit="1" customWidth="1"/>
    <col min="15" max="15" width="14" style="27" bestFit="1" customWidth="1"/>
    <col min="16" max="16" width="13.44140625" style="27" bestFit="1" customWidth="1"/>
    <col min="17" max="17" width="9.6640625" style="27" bestFit="1" customWidth="1"/>
    <col min="18" max="18" width="12.6640625" style="27" bestFit="1" customWidth="1"/>
    <col min="19" max="19" width="10" style="27" customWidth="1"/>
    <col min="20" max="20" width="9.88671875" style="27" customWidth="1"/>
    <col min="21" max="21" width="10.109375" style="27" bestFit="1" customWidth="1"/>
    <col min="22" max="22" width="9.44140625" customWidth="1"/>
    <col min="23" max="23" width="9.33203125" bestFit="1" customWidth="1"/>
    <col min="24" max="28" width="8.6640625"/>
    <col min="29" max="29" width="9.88671875" customWidth="1"/>
    <col min="30" max="33" width="8.6640625"/>
    <col min="34" max="34" width="11" customWidth="1"/>
    <col min="35" max="35" width="11.6640625" customWidth="1"/>
    <col min="36" max="36" width="10.44140625" customWidth="1"/>
    <col min="37" max="40" width="8.6640625" customWidth="1"/>
    <col min="41" max="16384" width="9.109375" style="27"/>
  </cols>
  <sheetData>
    <row r="1" spans="1:22" ht="25.5" customHeight="1" x14ac:dyDescent="0.25">
      <c r="A1" s="186" t="s">
        <v>511</v>
      </c>
      <c r="B1" s="186" t="s">
        <v>510</v>
      </c>
      <c r="C1" s="234" t="s">
        <v>786</v>
      </c>
      <c r="D1" s="234"/>
      <c r="E1" s="234"/>
      <c r="F1" s="234"/>
      <c r="G1" s="236" t="s">
        <v>785</v>
      </c>
      <c r="H1" s="233" t="s">
        <v>537</v>
      </c>
      <c r="I1" s="234" t="s">
        <v>786</v>
      </c>
      <c r="J1" s="234"/>
      <c r="K1" s="234"/>
      <c r="L1" s="234"/>
      <c r="M1" s="233" t="s">
        <v>858</v>
      </c>
      <c r="N1" s="297" t="s">
        <v>859</v>
      </c>
      <c r="O1" s="235" t="s">
        <v>787</v>
      </c>
      <c r="P1" s="235"/>
      <c r="Q1" s="235"/>
      <c r="R1" s="235"/>
      <c r="S1" s="232" t="s">
        <v>538</v>
      </c>
      <c r="T1" s="233" t="s">
        <v>788</v>
      </c>
      <c r="U1" s="231" t="s">
        <v>754</v>
      </c>
      <c r="V1" s="231" t="s">
        <v>534</v>
      </c>
    </row>
    <row r="2" spans="1:22" ht="15" customHeight="1" x14ac:dyDescent="0.25">
      <c r="A2" s="186"/>
      <c r="B2" s="186"/>
      <c r="C2" s="171" t="s">
        <v>527</v>
      </c>
      <c r="D2" s="171" t="s">
        <v>528</v>
      </c>
      <c r="E2" s="171" t="s">
        <v>529</v>
      </c>
      <c r="F2" s="171" t="s">
        <v>530</v>
      </c>
      <c r="G2" s="182"/>
      <c r="H2" s="233"/>
      <c r="I2" s="171" t="s">
        <v>527</v>
      </c>
      <c r="J2" s="171" t="s">
        <v>528</v>
      </c>
      <c r="K2" s="298" t="s">
        <v>529</v>
      </c>
      <c r="L2" s="171" t="s">
        <v>530</v>
      </c>
      <c r="M2" s="233"/>
      <c r="N2" s="299"/>
      <c r="O2" s="141" t="s">
        <v>527</v>
      </c>
      <c r="P2" s="141" t="s">
        <v>528</v>
      </c>
      <c r="Q2" s="141" t="s">
        <v>529</v>
      </c>
      <c r="R2" s="141" t="s">
        <v>530</v>
      </c>
      <c r="S2" s="232"/>
      <c r="T2" s="233"/>
      <c r="U2" s="231"/>
      <c r="V2" s="231"/>
    </row>
    <row r="3" spans="1:22" x14ac:dyDescent="0.25">
      <c r="A3" s="186"/>
      <c r="B3" s="186"/>
      <c r="C3" s="172">
        <v>2.2999999999999998</v>
      </c>
      <c r="D3" s="172">
        <v>2</v>
      </c>
      <c r="E3" s="172">
        <v>2.4</v>
      </c>
      <c r="F3" s="172">
        <v>1</v>
      </c>
      <c r="G3" s="183"/>
      <c r="H3" s="233"/>
      <c r="I3" s="172">
        <v>2.2999999999999998</v>
      </c>
      <c r="J3" s="172">
        <v>2</v>
      </c>
      <c r="K3" s="172">
        <v>2.4</v>
      </c>
      <c r="L3" s="172">
        <v>1</v>
      </c>
      <c r="M3" s="233"/>
      <c r="N3" s="300"/>
      <c r="O3" s="142">
        <v>2.2999999999999998</v>
      </c>
      <c r="P3" s="142">
        <v>2</v>
      </c>
      <c r="Q3" s="142">
        <v>2.4</v>
      </c>
      <c r="R3" s="142">
        <v>1</v>
      </c>
      <c r="S3" s="232"/>
      <c r="T3" s="233"/>
      <c r="U3" s="231"/>
      <c r="V3" s="231"/>
    </row>
    <row r="4" spans="1:22" x14ac:dyDescent="0.25">
      <c r="A4" s="28" t="s">
        <v>69</v>
      </c>
      <c r="B4" s="29" t="s">
        <v>490</v>
      </c>
      <c r="C4" s="30">
        <v>3</v>
      </c>
      <c r="D4" s="30">
        <v>1</v>
      </c>
      <c r="E4" s="30">
        <v>12</v>
      </c>
      <c r="F4" s="30">
        <v>0</v>
      </c>
      <c r="G4" s="30">
        <v>0</v>
      </c>
      <c r="H4" s="30">
        <f t="shared" ref="H4:H35" si="0">IF((C4*C$3+D4*D$3+E4*E$3+F4*F$3)*R$88&lt;G4,0,ROUND((C4*C$3+D4*D$3+E4*E$3+F4*F$3)*R$88-G4,0))</f>
        <v>345236</v>
      </c>
      <c r="I4" s="30">
        <v>3</v>
      </c>
      <c r="J4" s="30">
        <v>1</v>
      </c>
      <c r="K4" s="30">
        <v>12</v>
      </c>
      <c r="L4" s="30">
        <v>0</v>
      </c>
      <c r="M4" s="30">
        <f t="shared" ref="M4:M52" si="1">IF((I4*I$3+J4*J$3+K4*K$3+L4*L$3)*R$88&lt;G4,0,ROUND((I4*I$3+J4*J$3+K4*K$3+L4*L$3)*R$88-G4,0))</f>
        <v>345236</v>
      </c>
      <c r="N4" s="30">
        <f>M4-H4</f>
        <v>0</v>
      </c>
      <c r="O4" s="30"/>
      <c r="P4" s="30"/>
      <c r="Q4" s="30"/>
      <c r="R4" s="30"/>
      <c r="S4" s="30">
        <f>IF(ROUND((O4*O$3+P4*P$3+Q4*Q$3+R4*R$3)/2*S$88+(C4*C$3+D4*D$3+E4*E$3+F4*F$3)/2*S$88,0)&lt;H4+G4,0,ROUND((O4*O$3+P4*P$3+Q4*Q$3+R4*R$3)/2*S$88+(C4*C$3+D4*D$3+E4*E$3+F4*F$3)/2*S$88-H4-G4,0))</f>
        <v>0</v>
      </c>
      <c r="T4" s="30">
        <f>M4+S4</f>
        <v>345236</v>
      </c>
      <c r="U4" s="30">
        <v>356583</v>
      </c>
      <c r="V4" s="30">
        <f>T4-U4</f>
        <v>-11347</v>
      </c>
    </row>
    <row r="5" spans="1:22" x14ac:dyDescent="0.25">
      <c r="A5" s="28" t="s">
        <v>69</v>
      </c>
      <c r="B5" s="29" t="s">
        <v>488</v>
      </c>
      <c r="C5" s="30">
        <v>0</v>
      </c>
      <c r="D5" s="30">
        <v>0</v>
      </c>
      <c r="E5" s="30">
        <v>8</v>
      </c>
      <c r="F5" s="30">
        <v>0</v>
      </c>
      <c r="G5" s="30">
        <v>0</v>
      </c>
      <c r="H5" s="30">
        <f t="shared" si="0"/>
        <v>175823</v>
      </c>
      <c r="I5" s="30">
        <v>0</v>
      </c>
      <c r="J5" s="30">
        <v>0</v>
      </c>
      <c r="K5" s="30">
        <v>8</v>
      </c>
      <c r="L5" s="30">
        <v>0</v>
      </c>
      <c r="M5" s="30">
        <f t="shared" si="1"/>
        <v>175823</v>
      </c>
      <c r="N5" s="30">
        <f t="shared" ref="N5:N68" si="2">M5-H5</f>
        <v>0</v>
      </c>
      <c r="O5" s="30"/>
      <c r="P5" s="30"/>
      <c r="Q5" s="30"/>
      <c r="R5" s="30"/>
      <c r="S5" s="30">
        <f t="shared" ref="S5:S68" si="3">IF(ROUND((O5*O$3+P5*P$3+Q5*Q$3+R5*R$3)/2*S$88+(C5*C$3+D5*D$3+E5*E$3+F5*F$3)/2*S$88,0)&lt;H5+G5,0,ROUND((O5*O$3+P5*P$3+Q5*Q$3+R5*R$3)/2*S$88+(C5*C$3+D5*D$3+E5*E$3+F5*F$3)/2*S$88-H5-G5,0))</f>
        <v>0</v>
      </c>
      <c r="T5" s="30">
        <f t="shared" ref="T5:T68" si="4">M5+S5</f>
        <v>175823</v>
      </c>
      <c r="U5" s="30">
        <v>172453</v>
      </c>
      <c r="V5" s="30">
        <f t="shared" ref="V5:V68" si="5">T5-U5</f>
        <v>3370</v>
      </c>
    </row>
    <row r="6" spans="1:22" x14ac:dyDescent="0.25">
      <c r="A6" s="28" t="s">
        <v>69</v>
      </c>
      <c r="B6" s="29" t="s">
        <v>486</v>
      </c>
      <c r="C6" s="30">
        <v>0</v>
      </c>
      <c r="D6" s="30">
        <v>0</v>
      </c>
      <c r="E6" s="30">
        <v>1</v>
      </c>
      <c r="F6" s="30">
        <v>0</v>
      </c>
      <c r="G6" s="30">
        <v>0</v>
      </c>
      <c r="H6" s="30">
        <f t="shared" si="0"/>
        <v>21978</v>
      </c>
      <c r="I6" s="30">
        <v>0</v>
      </c>
      <c r="J6" s="30">
        <v>0</v>
      </c>
      <c r="K6" s="30">
        <v>1</v>
      </c>
      <c r="L6" s="30">
        <v>0</v>
      </c>
      <c r="M6" s="30">
        <f t="shared" si="1"/>
        <v>21978</v>
      </c>
      <c r="N6" s="30">
        <f t="shared" si="2"/>
        <v>0</v>
      </c>
      <c r="O6" s="30"/>
      <c r="P6" s="30"/>
      <c r="Q6" s="30"/>
      <c r="R6" s="30"/>
      <c r="S6" s="30">
        <f t="shared" si="3"/>
        <v>0</v>
      </c>
      <c r="T6" s="30">
        <f t="shared" si="4"/>
        <v>21978</v>
      </c>
      <c r="U6" s="30">
        <v>21063</v>
      </c>
      <c r="V6" s="30">
        <f t="shared" si="5"/>
        <v>915</v>
      </c>
    </row>
    <row r="7" spans="1:22" x14ac:dyDescent="0.25">
      <c r="A7" s="28" t="s">
        <v>69</v>
      </c>
      <c r="B7" s="29" t="s">
        <v>81</v>
      </c>
      <c r="C7" s="30">
        <v>0</v>
      </c>
      <c r="D7" s="30">
        <v>0</v>
      </c>
      <c r="E7" s="30">
        <v>1</v>
      </c>
      <c r="F7" s="30">
        <v>1</v>
      </c>
      <c r="G7" s="30">
        <v>0</v>
      </c>
      <c r="H7" s="30">
        <f t="shared" si="0"/>
        <v>31135</v>
      </c>
      <c r="I7" s="30">
        <v>0</v>
      </c>
      <c r="J7" s="30">
        <v>0</v>
      </c>
      <c r="K7" s="30">
        <v>1</v>
      </c>
      <c r="L7" s="30">
        <v>1</v>
      </c>
      <c r="M7" s="30">
        <f t="shared" si="1"/>
        <v>31135</v>
      </c>
      <c r="N7" s="30">
        <f t="shared" si="2"/>
        <v>0</v>
      </c>
      <c r="O7" s="30"/>
      <c r="P7" s="30"/>
      <c r="Q7" s="30"/>
      <c r="R7" s="30"/>
      <c r="S7" s="30">
        <f t="shared" si="3"/>
        <v>0</v>
      </c>
      <c r="T7" s="30">
        <f t="shared" si="4"/>
        <v>31135</v>
      </c>
      <c r="U7" s="30">
        <v>32434</v>
      </c>
      <c r="V7" s="30">
        <f t="shared" si="5"/>
        <v>-1299</v>
      </c>
    </row>
    <row r="8" spans="1:22" x14ac:dyDescent="0.25">
      <c r="A8" s="28" t="s">
        <v>69</v>
      </c>
      <c r="B8" s="29" t="s">
        <v>480</v>
      </c>
      <c r="C8" s="30">
        <v>0</v>
      </c>
      <c r="D8" s="30">
        <v>0</v>
      </c>
      <c r="E8" s="30">
        <v>0</v>
      </c>
      <c r="F8" s="30">
        <v>0</v>
      </c>
      <c r="G8" s="30">
        <v>9667.85</v>
      </c>
      <c r="H8" s="30">
        <f t="shared" si="0"/>
        <v>0</v>
      </c>
      <c r="I8" s="30">
        <v>0</v>
      </c>
      <c r="J8" s="30">
        <v>0</v>
      </c>
      <c r="K8" s="30">
        <v>0</v>
      </c>
      <c r="L8" s="30">
        <v>0</v>
      </c>
      <c r="M8" s="30">
        <f t="shared" si="1"/>
        <v>0</v>
      </c>
      <c r="N8" s="30">
        <f t="shared" si="2"/>
        <v>0</v>
      </c>
      <c r="O8" s="30"/>
      <c r="P8" s="30"/>
      <c r="Q8" s="30"/>
      <c r="R8" s="30"/>
      <c r="S8" s="30">
        <f t="shared" si="3"/>
        <v>0</v>
      </c>
      <c r="T8" s="30">
        <f t="shared" si="4"/>
        <v>0</v>
      </c>
      <c r="U8" s="30">
        <v>0</v>
      </c>
      <c r="V8" s="30">
        <f t="shared" si="5"/>
        <v>0</v>
      </c>
    </row>
    <row r="9" spans="1:22" x14ac:dyDescent="0.25">
      <c r="A9" s="28" t="s">
        <v>69</v>
      </c>
      <c r="B9" s="31" t="s">
        <v>478</v>
      </c>
      <c r="C9" s="30">
        <v>2</v>
      </c>
      <c r="D9" s="30">
        <v>0</v>
      </c>
      <c r="E9" s="30">
        <v>1</v>
      </c>
      <c r="F9" s="30">
        <v>0</v>
      </c>
      <c r="G9" s="30">
        <v>0</v>
      </c>
      <c r="H9" s="30">
        <f t="shared" si="0"/>
        <v>64102</v>
      </c>
      <c r="I9" s="30">
        <v>2</v>
      </c>
      <c r="J9" s="30">
        <v>0</v>
      </c>
      <c r="K9" s="30">
        <v>1</v>
      </c>
      <c r="L9" s="30">
        <v>0</v>
      </c>
      <c r="M9" s="30">
        <f t="shared" si="1"/>
        <v>64102</v>
      </c>
      <c r="N9" s="30">
        <f t="shared" si="2"/>
        <v>0</v>
      </c>
      <c r="O9" s="30"/>
      <c r="P9" s="30"/>
      <c r="Q9" s="30"/>
      <c r="R9" s="30"/>
      <c r="S9" s="30">
        <f t="shared" si="3"/>
        <v>0</v>
      </c>
      <c r="T9" s="30">
        <f t="shared" si="4"/>
        <v>64102</v>
      </c>
      <c r="U9" s="30">
        <v>92518</v>
      </c>
      <c r="V9" s="30">
        <f t="shared" si="5"/>
        <v>-28416</v>
      </c>
    </row>
    <row r="10" spans="1:22" x14ac:dyDescent="0.25">
      <c r="A10" s="28" t="s">
        <v>69</v>
      </c>
      <c r="B10" s="29" t="s">
        <v>476</v>
      </c>
      <c r="C10" s="30">
        <v>1</v>
      </c>
      <c r="D10" s="30">
        <v>1</v>
      </c>
      <c r="E10" s="30">
        <v>0</v>
      </c>
      <c r="F10" s="30">
        <v>0</v>
      </c>
      <c r="G10" s="30">
        <v>0</v>
      </c>
      <c r="H10" s="30">
        <f t="shared" si="0"/>
        <v>39377</v>
      </c>
      <c r="I10" s="30">
        <v>1</v>
      </c>
      <c r="J10" s="30">
        <v>1</v>
      </c>
      <c r="K10" s="30">
        <v>0</v>
      </c>
      <c r="L10" s="30">
        <v>0</v>
      </c>
      <c r="M10" s="30">
        <f t="shared" si="1"/>
        <v>39377</v>
      </c>
      <c r="N10" s="30">
        <f t="shared" si="2"/>
        <v>0</v>
      </c>
      <c r="O10" s="30"/>
      <c r="P10" s="30"/>
      <c r="Q10" s="30"/>
      <c r="R10" s="30"/>
      <c r="S10" s="30">
        <f t="shared" si="3"/>
        <v>0</v>
      </c>
      <c r="T10" s="30">
        <f t="shared" si="4"/>
        <v>39377</v>
      </c>
      <c r="U10" s="30">
        <v>29262</v>
      </c>
      <c r="V10" s="30">
        <f t="shared" si="5"/>
        <v>10115</v>
      </c>
    </row>
    <row r="11" spans="1:22" x14ac:dyDescent="0.25">
      <c r="A11" s="28" t="s">
        <v>69</v>
      </c>
      <c r="B11" s="29" t="s">
        <v>83</v>
      </c>
      <c r="C11" s="30">
        <v>4</v>
      </c>
      <c r="D11" s="30">
        <v>1</v>
      </c>
      <c r="E11" s="30">
        <v>1</v>
      </c>
      <c r="F11" s="30">
        <v>0</v>
      </c>
      <c r="G11" s="30">
        <v>8.7899999999999991</v>
      </c>
      <c r="H11" s="30">
        <f t="shared" si="0"/>
        <v>124533</v>
      </c>
      <c r="I11" s="30">
        <v>4</v>
      </c>
      <c r="J11" s="30">
        <v>1</v>
      </c>
      <c r="K11" s="30">
        <v>1</v>
      </c>
      <c r="L11" s="30">
        <v>0</v>
      </c>
      <c r="M11" s="30">
        <f t="shared" si="1"/>
        <v>124533</v>
      </c>
      <c r="N11" s="30">
        <f t="shared" si="2"/>
        <v>0</v>
      </c>
      <c r="O11" s="30"/>
      <c r="P11" s="30"/>
      <c r="Q11" s="30"/>
      <c r="R11" s="30"/>
      <c r="S11" s="30">
        <f t="shared" si="3"/>
        <v>0</v>
      </c>
      <c r="T11" s="30">
        <f t="shared" si="4"/>
        <v>124533</v>
      </c>
      <c r="U11" s="30">
        <v>113242</v>
      </c>
      <c r="V11" s="30">
        <f t="shared" si="5"/>
        <v>11291</v>
      </c>
    </row>
    <row r="12" spans="1:22" x14ac:dyDescent="0.25">
      <c r="A12" s="28" t="s">
        <v>69</v>
      </c>
      <c r="B12" s="29" t="s">
        <v>605</v>
      </c>
      <c r="C12" s="30">
        <v>3</v>
      </c>
      <c r="D12" s="30">
        <v>5</v>
      </c>
      <c r="E12" s="30">
        <v>9</v>
      </c>
      <c r="F12" s="30">
        <v>1</v>
      </c>
      <c r="G12" s="30">
        <v>0</v>
      </c>
      <c r="H12" s="30">
        <f t="shared" si="0"/>
        <v>361720</v>
      </c>
      <c r="I12" s="30">
        <v>3</v>
      </c>
      <c r="J12" s="30">
        <v>5</v>
      </c>
      <c r="K12" s="30">
        <v>9</v>
      </c>
      <c r="L12" s="30">
        <v>1</v>
      </c>
      <c r="M12" s="30">
        <f t="shared" si="1"/>
        <v>361720</v>
      </c>
      <c r="N12" s="30">
        <f t="shared" si="2"/>
        <v>0</v>
      </c>
      <c r="O12" s="30"/>
      <c r="P12" s="30"/>
      <c r="Q12" s="30"/>
      <c r="R12" s="30"/>
      <c r="S12" s="30">
        <f t="shared" si="3"/>
        <v>0</v>
      </c>
      <c r="T12" s="30">
        <f t="shared" si="4"/>
        <v>361720</v>
      </c>
      <c r="U12" s="30">
        <v>357624</v>
      </c>
      <c r="V12" s="30">
        <f t="shared" si="5"/>
        <v>4096</v>
      </c>
    </row>
    <row r="13" spans="1:22" x14ac:dyDescent="0.25">
      <c r="A13" s="28" t="s">
        <v>69</v>
      </c>
      <c r="B13" s="29" t="s">
        <v>68</v>
      </c>
      <c r="C13" s="30">
        <v>1</v>
      </c>
      <c r="D13" s="30">
        <v>2</v>
      </c>
      <c r="E13" s="30">
        <v>0</v>
      </c>
      <c r="F13" s="30">
        <v>1</v>
      </c>
      <c r="G13" s="30">
        <v>40318</v>
      </c>
      <c r="H13" s="30">
        <f t="shared" si="0"/>
        <v>26531</v>
      </c>
      <c r="I13" s="30">
        <v>1</v>
      </c>
      <c r="J13" s="30">
        <v>2</v>
      </c>
      <c r="K13" s="30">
        <v>0</v>
      </c>
      <c r="L13" s="30">
        <v>1</v>
      </c>
      <c r="M13" s="30">
        <f t="shared" si="1"/>
        <v>26531</v>
      </c>
      <c r="N13" s="30">
        <f t="shared" si="2"/>
        <v>0</v>
      </c>
      <c r="O13" s="30"/>
      <c r="P13" s="30"/>
      <c r="Q13" s="30"/>
      <c r="R13" s="30"/>
      <c r="S13" s="30">
        <f t="shared" si="3"/>
        <v>0</v>
      </c>
      <c r="T13" s="30">
        <f t="shared" si="4"/>
        <v>26531</v>
      </c>
      <c r="U13" s="30">
        <v>24889</v>
      </c>
      <c r="V13" s="30">
        <f t="shared" si="5"/>
        <v>1642</v>
      </c>
    </row>
    <row r="14" spans="1:22" x14ac:dyDescent="0.25">
      <c r="A14" s="28" t="s">
        <v>69</v>
      </c>
      <c r="B14" s="29" t="s">
        <v>470</v>
      </c>
      <c r="C14" s="30">
        <v>0</v>
      </c>
      <c r="D14" s="30">
        <v>2</v>
      </c>
      <c r="E14" s="30">
        <v>2</v>
      </c>
      <c r="F14" s="30">
        <v>0</v>
      </c>
      <c r="G14" s="30">
        <v>10884.66</v>
      </c>
      <c r="H14" s="30">
        <f t="shared" si="0"/>
        <v>69701</v>
      </c>
      <c r="I14" s="30">
        <v>0</v>
      </c>
      <c r="J14" s="30">
        <v>2</v>
      </c>
      <c r="K14" s="30">
        <v>2</v>
      </c>
      <c r="L14" s="30">
        <v>0</v>
      </c>
      <c r="M14" s="30">
        <f t="shared" si="1"/>
        <v>69701</v>
      </c>
      <c r="N14" s="30">
        <f t="shared" si="2"/>
        <v>0</v>
      </c>
      <c r="O14" s="30"/>
      <c r="P14" s="30"/>
      <c r="Q14" s="30"/>
      <c r="R14" s="30"/>
      <c r="S14" s="30">
        <f t="shared" si="3"/>
        <v>0</v>
      </c>
      <c r="T14" s="30">
        <f t="shared" si="4"/>
        <v>69701</v>
      </c>
      <c r="U14" s="30">
        <v>65478</v>
      </c>
      <c r="V14" s="30">
        <f t="shared" si="5"/>
        <v>4223</v>
      </c>
    </row>
    <row r="15" spans="1:22" x14ac:dyDescent="0.25">
      <c r="A15" s="28" t="s">
        <v>69</v>
      </c>
      <c r="B15" s="29" t="s">
        <v>468</v>
      </c>
      <c r="C15" s="30">
        <v>2</v>
      </c>
      <c r="D15" s="30">
        <v>0</v>
      </c>
      <c r="E15" s="30">
        <v>1</v>
      </c>
      <c r="F15" s="30">
        <v>1</v>
      </c>
      <c r="G15" s="30">
        <v>3958.67</v>
      </c>
      <c r="H15" s="30">
        <f t="shared" si="0"/>
        <v>69301</v>
      </c>
      <c r="I15" s="30">
        <v>2</v>
      </c>
      <c r="J15" s="30">
        <v>0</v>
      </c>
      <c r="K15" s="30">
        <v>1</v>
      </c>
      <c r="L15" s="30">
        <v>1</v>
      </c>
      <c r="M15" s="30">
        <f t="shared" si="1"/>
        <v>69301</v>
      </c>
      <c r="N15" s="30">
        <f t="shared" si="2"/>
        <v>0</v>
      </c>
      <c r="O15" s="30"/>
      <c r="P15" s="30"/>
      <c r="Q15" s="30"/>
      <c r="R15" s="30"/>
      <c r="S15" s="30">
        <f t="shared" si="3"/>
        <v>0</v>
      </c>
      <c r="T15" s="30">
        <f t="shared" si="4"/>
        <v>69301</v>
      </c>
      <c r="U15" s="30">
        <v>76855</v>
      </c>
      <c r="V15" s="30">
        <f t="shared" si="5"/>
        <v>-7554</v>
      </c>
    </row>
    <row r="16" spans="1:22" x14ac:dyDescent="0.25">
      <c r="A16" s="28" t="s">
        <v>69</v>
      </c>
      <c r="B16" s="29" t="s">
        <v>466</v>
      </c>
      <c r="C16" s="30">
        <v>1</v>
      </c>
      <c r="D16" s="30">
        <v>0</v>
      </c>
      <c r="E16" s="30">
        <v>3</v>
      </c>
      <c r="F16" s="30">
        <v>0</v>
      </c>
      <c r="G16" s="30">
        <v>0</v>
      </c>
      <c r="H16" s="30">
        <f t="shared" si="0"/>
        <v>86996</v>
      </c>
      <c r="I16" s="30">
        <v>1</v>
      </c>
      <c r="J16" s="30">
        <v>0</v>
      </c>
      <c r="K16" s="30">
        <v>3</v>
      </c>
      <c r="L16" s="30">
        <v>0</v>
      </c>
      <c r="M16" s="30">
        <f t="shared" si="1"/>
        <v>86996</v>
      </c>
      <c r="N16" s="30">
        <f t="shared" si="2"/>
        <v>0</v>
      </c>
      <c r="O16" s="30"/>
      <c r="P16" s="30"/>
      <c r="Q16" s="30"/>
      <c r="R16" s="30"/>
      <c r="S16" s="30">
        <f t="shared" si="3"/>
        <v>0</v>
      </c>
      <c r="T16" s="30">
        <f t="shared" si="4"/>
        <v>86996</v>
      </c>
      <c r="U16" s="30">
        <v>81269</v>
      </c>
      <c r="V16" s="30">
        <f t="shared" si="5"/>
        <v>5727</v>
      </c>
    </row>
    <row r="17" spans="1:22" x14ac:dyDescent="0.25">
      <c r="A17" s="28" t="s">
        <v>69</v>
      </c>
      <c r="B17" s="29" t="s">
        <v>464</v>
      </c>
      <c r="C17" s="30">
        <v>2</v>
      </c>
      <c r="D17" s="30">
        <v>6</v>
      </c>
      <c r="E17" s="30">
        <v>0</v>
      </c>
      <c r="F17" s="30">
        <v>0</v>
      </c>
      <c r="G17" s="30">
        <v>0</v>
      </c>
      <c r="H17" s="30">
        <f t="shared" si="0"/>
        <v>152014</v>
      </c>
      <c r="I17" s="30">
        <v>2</v>
      </c>
      <c r="J17" s="30">
        <v>6</v>
      </c>
      <c r="K17" s="30">
        <v>0</v>
      </c>
      <c r="L17" s="30">
        <v>0</v>
      </c>
      <c r="M17" s="30">
        <f t="shared" si="1"/>
        <v>152014</v>
      </c>
      <c r="N17" s="30">
        <f t="shared" si="2"/>
        <v>0</v>
      </c>
      <c r="O17" s="30"/>
      <c r="P17" s="30"/>
      <c r="Q17" s="30"/>
      <c r="R17" s="30"/>
      <c r="S17" s="30">
        <f t="shared" si="3"/>
        <v>0</v>
      </c>
      <c r="T17" s="30">
        <f t="shared" si="4"/>
        <v>152014</v>
      </c>
      <c r="U17" s="30">
        <v>137060</v>
      </c>
      <c r="V17" s="30">
        <f t="shared" si="5"/>
        <v>14954</v>
      </c>
    </row>
    <row r="18" spans="1:22" x14ac:dyDescent="0.25">
      <c r="A18" s="28" t="s">
        <v>69</v>
      </c>
      <c r="B18" s="29" t="s">
        <v>587</v>
      </c>
      <c r="C18" s="30">
        <v>22</v>
      </c>
      <c r="D18" s="30">
        <v>38</v>
      </c>
      <c r="E18" s="30">
        <v>124</v>
      </c>
      <c r="F18" s="30">
        <v>28</v>
      </c>
      <c r="G18" s="30">
        <v>0</v>
      </c>
      <c r="H18" s="30">
        <f t="shared" si="0"/>
        <v>4141006</v>
      </c>
      <c r="I18" s="30">
        <v>22</v>
      </c>
      <c r="J18" s="30">
        <v>38</v>
      </c>
      <c r="K18" s="30">
        <v>124</v>
      </c>
      <c r="L18" s="30">
        <v>28</v>
      </c>
      <c r="M18" s="30">
        <f t="shared" si="1"/>
        <v>4141006</v>
      </c>
      <c r="N18" s="30">
        <f t="shared" si="2"/>
        <v>0</v>
      </c>
      <c r="O18" s="30"/>
      <c r="P18" s="30"/>
      <c r="Q18" s="30"/>
      <c r="R18" s="30"/>
      <c r="S18" s="30">
        <f t="shared" si="3"/>
        <v>0</v>
      </c>
      <c r="T18" s="30">
        <f t="shared" si="4"/>
        <v>4141006</v>
      </c>
      <c r="U18" s="30">
        <v>3926306</v>
      </c>
      <c r="V18" s="30">
        <f t="shared" si="5"/>
        <v>214700</v>
      </c>
    </row>
    <row r="19" spans="1:22" x14ac:dyDescent="0.25">
      <c r="A19" s="28" t="s">
        <v>69</v>
      </c>
      <c r="B19" s="29" t="s">
        <v>460</v>
      </c>
      <c r="C19" s="30">
        <v>0</v>
      </c>
      <c r="D19" s="30">
        <v>2</v>
      </c>
      <c r="E19" s="30">
        <v>0</v>
      </c>
      <c r="F19" s="30">
        <v>0</v>
      </c>
      <c r="G19" s="30">
        <v>0</v>
      </c>
      <c r="H19" s="30">
        <f t="shared" si="0"/>
        <v>36630</v>
      </c>
      <c r="I19" s="30">
        <v>0</v>
      </c>
      <c r="J19" s="30">
        <v>2</v>
      </c>
      <c r="K19" s="30">
        <v>0</v>
      </c>
      <c r="L19" s="30">
        <v>0</v>
      </c>
      <c r="M19" s="30">
        <f t="shared" si="1"/>
        <v>36630</v>
      </c>
      <c r="N19" s="30">
        <f t="shared" si="2"/>
        <v>0</v>
      </c>
      <c r="O19" s="30"/>
      <c r="P19" s="30"/>
      <c r="Q19" s="30"/>
      <c r="R19" s="30"/>
      <c r="S19" s="30">
        <f t="shared" si="3"/>
        <v>0</v>
      </c>
      <c r="T19" s="30">
        <f t="shared" si="4"/>
        <v>36630</v>
      </c>
      <c r="U19" s="30">
        <v>16812</v>
      </c>
      <c r="V19" s="30">
        <f t="shared" si="5"/>
        <v>19818</v>
      </c>
    </row>
    <row r="20" spans="1:22" x14ac:dyDescent="0.25">
      <c r="A20" s="28" t="s">
        <v>67</v>
      </c>
      <c r="B20" s="29" t="s">
        <v>591</v>
      </c>
      <c r="C20" s="30"/>
      <c r="D20" s="30"/>
      <c r="E20" s="30"/>
      <c r="F20" s="30"/>
      <c r="G20" s="30">
        <v>14884.23</v>
      </c>
      <c r="H20" s="30">
        <f t="shared" si="0"/>
        <v>0</v>
      </c>
      <c r="I20" s="30"/>
      <c r="J20" s="30"/>
      <c r="K20" s="30"/>
      <c r="L20" s="30"/>
      <c r="M20" s="30">
        <f t="shared" si="1"/>
        <v>0</v>
      </c>
      <c r="N20" s="30">
        <f t="shared" si="2"/>
        <v>0</v>
      </c>
      <c r="O20" s="30"/>
      <c r="P20" s="30"/>
      <c r="Q20" s="30"/>
      <c r="R20" s="30"/>
      <c r="S20" s="30">
        <f t="shared" si="3"/>
        <v>0</v>
      </c>
      <c r="T20" s="30">
        <f t="shared" si="4"/>
        <v>0</v>
      </c>
      <c r="U20" s="30">
        <v>0</v>
      </c>
      <c r="V20" s="30">
        <f t="shared" si="5"/>
        <v>0</v>
      </c>
    </row>
    <row r="21" spans="1:22" x14ac:dyDescent="0.25">
      <c r="A21" s="28" t="s">
        <v>58</v>
      </c>
      <c r="B21" s="29" t="s">
        <v>592</v>
      </c>
      <c r="C21" s="30">
        <v>0</v>
      </c>
      <c r="D21" s="30">
        <v>1</v>
      </c>
      <c r="E21" s="30">
        <v>0</v>
      </c>
      <c r="F21" s="30">
        <v>0</v>
      </c>
      <c r="G21" s="30">
        <v>15276</v>
      </c>
      <c r="H21" s="30">
        <f t="shared" si="0"/>
        <v>3039</v>
      </c>
      <c r="I21" s="30">
        <v>0</v>
      </c>
      <c r="J21" s="30">
        <v>1</v>
      </c>
      <c r="K21" s="30">
        <v>0</v>
      </c>
      <c r="L21" s="30">
        <v>0</v>
      </c>
      <c r="M21" s="30">
        <f t="shared" si="1"/>
        <v>3039</v>
      </c>
      <c r="N21" s="30">
        <f t="shared" si="2"/>
        <v>0</v>
      </c>
      <c r="O21" s="30"/>
      <c r="P21" s="30"/>
      <c r="Q21" s="30"/>
      <c r="R21" s="30"/>
      <c r="S21" s="30">
        <f t="shared" si="3"/>
        <v>0</v>
      </c>
      <c r="T21" s="30">
        <f t="shared" si="4"/>
        <v>3039</v>
      </c>
      <c r="U21" s="30">
        <v>0</v>
      </c>
      <c r="V21" s="30">
        <f t="shared" si="5"/>
        <v>3039</v>
      </c>
    </row>
    <row r="22" spans="1:22" x14ac:dyDescent="0.25">
      <c r="A22" s="28" t="s">
        <v>58</v>
      </c>
      <c r="B22" s="29" t="s">
        <v>434</v>
      </c>
      <c r="C22" s="30">
        <v>1</v>
      </c>
      <c r="D22" s="30">
        <v>2</v>
      </c>
      <c r="E22" s="30">
        <v>2</v>
      </c>
      <c r="F22" s="30">
        <v>0</v>
      </c>
      <c r="G22" s="30">
        <v>23570.9</v>
      </c>
      <c r="H22" s="30">
        <f t="shared" si="0"/>
        <v>78077</v>
      </c>
      <c r="I22" s="30">
        <v>1</v>
      </c>
      <c r="J22" s="30">
        <v>2</v>
      </c>
      <c r="K22" s="30">
        <v>2</v>
      </c>
      <c r="L22" s="30">
        <v>0</v>
      </c>
      <c r="M22" s="30">
        <f t="shared" si="1"/>
        <v>78077</v>
      </c>
      <c r="N22" s="30">
        <f t="shared" si="2"/>
        <v>0</v>
      </c>
      <c r="O22" s="30"/>
      <c r="P22" s="30"/>
      <c r="Q22" s="30"/>
      <c r="R22" s="30"/>
      <c r="S22" s="30">
        <f t="shared" si="3"/>
        <v>0</v>
      </c>
      <c r="T22" s="30">
        <f t="shared" si="4"/>
        <v>78077</v>
      </c>
      <c r="U22" s="30">
        <v>36882</v>
      </c>
      <c r="V22" s="30">
        <f t="shared" si="5"/>
        <v>41195</v>
      </c>
    </row>
    <row r="23" spans="1:22" x14ac:dyDescent="0.25">
      <c r="A23" s="28" t="s">
        <v>58</v>
      </c>
      <c r="B23" s="29" t="s">
        <v>57</v>
      </c>
      <c r="C23" s="30">
        <v>5</v>
      </c>
      <c r="D23" s="30">
        <v>6</v>
      </c>
      <c r="E23" s="30">
        <v>45</v>
      </c>
      <c r="F23" s="30">
        <v>0</v>
      </c>
      <c r="G23" s="30">
        <v>0</v>
      </c>
      <c r="H23" s="30">
        <f t="shared" si="0"/>
        <v>1204207</v>
      </c>
      <c r="I23" s="30">
        <v>5</v>
      </c>
      <c r="J23" s="30">
        <v>6</v>
      </c>
      <c r="K23" s="30">
        <v>45</v>
      </c>
      <c r="L23" s="30">
        <v>0</v>
      </c>
      <c r="M23" s="30">
        <f t="shared" si="1"/>
        <v>1204207</v>
      </c>
      <c r="N23" s="30">
        <f t="shared" si="2"/>
        <v>0</v>
      </c>
      <c r="O23" s="30"/>
      <c r="P23" s="30"/>
      <c r="Q23" s="30"/>
      <c r="R23" s="30"/>
      <c r="S23" s="30">
        <f t="shared" si="3"/>
        <v>0</v>
      </c>
      <c r="T23" s="30">
        <f t="shared" si="4"/>
        <v>1204207</v>
      </c>
      <c r="U23" s="30">
        <v>1174162</v>
      </c>
      <c r="V23" s="30">
        <f t="shared" si="5"/>
        <v>30045</v>
      </c>
    </row>
    <row r="24" spans="1:22" x14ac:dyDescent="0.25">
      <c r="A24" s="28" t="s">
        <v>58</v>
      </c>
      <c r="B24" s="29" t="s">
        <v>426</v>
      </c>
      <c r="C24" s="30">
        <v>0</v>
      </c>
      <c r="D24" s="30">
        <v>1</v>
      </c>
      <c r="E24" s="30">
        <v>12</v>
      </c>
      <c r="F24" s="30">
        <v>1</v>
      </c>
      <c r="G24" s="30">
        <v>0</v>
      </c>
      <c r="H24" s="30">
        <f t="shared" si="0"/>
        <v>291207</v>
      </c>
      <c r="I24" s="30">
        <v>0</v>
      </c>
      <c r="J24" s="30">
        <v>1</v>
      </c>
      <c r="K24" s="30">
        <v>12</v>
      </c>
      <c r="L24" s="30">
        <v>1</v>
      </c>
      <c r="M24" s="30">
        <f t="shared" si="1"/>
        <v>291207</v>
      </c>
      <c r="N24" s="30">
        <f t="shared" si="2"/>
        <v>0</v>
      </c>
      <c r="O24" s="30"/>
      <c r="P24" s="30"/>
      <c r="Q24" s="30"/>
      <c r="R24" s="30"/>
      <c r="S24" s="30">
        <f t="shared" si="3"/>
        <v>0</v>
      </c>
      <c r="T24" s="30">
        <f t="shared" si="4"/>
        <v>291207</v>
      </c>
      <c r="U24" s="30">
        <v>298201</v>
      </c>
      <c r="V24" s="30">
        <f t="shared" si="5"/>
        <v>-6994</v>
      </c>
    </row>
    <row r="25" spans="1:22" x14ac:dyDescent="0.25">
      <c r="A25" s="28" t="s">
        <v>58</v>
      </c>
      <c r="B25" s="29" t="s">
        <v>59</v>
      </c>
      <c r="C25" s="30">
        <v>11</v>
      </c>
      <c r="D25" s="30">
        <v>0</v>
      </c>
      <c r="E25" s="30">
        <v>41</v>
      </c>
      <c r="F25" s="30">
        <v>1</v>
      </c>
      <c r="G25" s="30">
        <v>0</v>
      </c>
      <c r="H25" s="30">
        <f t="shared" si="0"/>
        <v>1141936</v>
      </c>
      <c r="I25" s="30">
        <v>11</v>
      </c>
      <c r="J25" s="30">
        <v>0</v>
      </c>
      <c r="K25" s="30">
        <v>41</v>
      </c>
      <c r="L25" s="30">
        <v>1</v>
      </c>
      <c r="M25" s="30">
        <f t="shared" si="1"/>
        <v>1141936</v>
      </c>
      <c r="N25" s="30">
        <f t="shared" si="2"/>
        <v>0</v>
      </c>
      <c r="O25" s="30"/>
      <c r="P25" s="30"/>
      <c r="Q25" s="30"/>
      <c r="R25" s="30"/>
      <c r="S25" s="30">
        <f t="shared" si="3"/>
        <v>0</v>
      </c>
      <c r="T25" s="30">
        <f t="shared" si="4"/>
        <v>1141936</v>
      </c>
      <c r="U25" s="30">
        <v>1197270</v>
      </c>
      <c r="V25" s="30">
        <f t="shared" si="5"/>
        <v>-55334</v>
      </c>
    </row>
    <row r="26" spans="1:22" x14ac:dyDescent="0.25">
      <c r="A26" s="28" t="s">
        <v>58</v>
      </c>
      <c r="B26" s="29" t="s">
        <v>62</v>
      </c>
      <c r="C26" s="30">
        <v>0</v>
      </c>
      <c r="D26" s="30">
        <v>0</v>
      </c>
      <c r="E26" s="30">
        <v>4</v>
      </c>
      <c r="F26" s="30">
        <v>0</v>
      </c>
      <c r="G26" s="30">
        <v>0.5</v>
      </c>
      <c r="H26" s="30">
        <f t="shared" si="0"/>
        <v>87911</v>
      </c>
      <c r="I26" s="30">
        <v>0</v>
      </c>
      <c r="J26" s="30">
        <v>0</v>
      </c>
      <c r="K26" s="30">
        <v>4</v>
      </c>
      <c r="L26" s="30">
        <v>0</v>
      </c>
      <c r="M26" s="30">
        <f t="shared" si="1"/>
        <v>87911</v>
      </c>
      <c r="N26" s="30">
        <f t="shared" si="2"/>
        <v>0</v>
      </c>
      <c r="O26" s="30"/>
      <c r="P26" s="30"/>
      <c r="Q26" s="30"/>
      <c r="R26" s="30"/>
      <c r="S26" s="30">
        <f t="shared" si="3"/>
        <v>0</v>
      </c>
      <c r="T26" s="30">
        <f t="shared" si="4"/>
        <v>87911</v>
      </c>
      <c r="U26" s="30">
        <v>99109</v>
      </c>
      <c r="V26" s="30">
        <f t="shared" si="5"/>
        <v>-11198</v>
      </c>
    </row>
    <row r="27" spans="1:22" x14ac:dyDescent="0.25">
      <c r="A27" s="28" t="s">
        <v>58</v>
      </c>
      <c r="B27" s="29" t="s">
        <v>61</v>
      </c>
      <c r="C27" s="30">
        <v>2</v>
      </c>
      <c r="D27" s="30">
        <v>0</v>
      </c>
      <c r="E27" s="30">
        <v>13</v>
      </c>
      <c r="F27" s="30">
        <v>3</v>
      </c>
      <c r="G27" s="30">
        <v>0</v>
      </c>
      <c r="H27" s="30">
        <f t="shared" si="0"/>
        <v>355310</v>
      </c>
      <c r="I27" s="30">
        <v>2</v>
      </c>
      <c r="J27" s="30">
        <v>0</v>
      </c>
      <c r="K27" s="30">
        <v>13</v>
      </c>
      <c r="L27" s="30">
        <v>3</v>
      </c>
      <c r="M27" s="30">
        <f t="shared" si="1"/>
        <v>355310</v>
      </c>
      <c r="N27" s="30">
        <f t="shared" si="2"/>
        <v>0</v>
      </c>
      <c r="O27" s="30"/>
      <c r="P27" s="30"/>
      <c r="Q27" s="30"/>
      <c r="R27" s="30"/>
      <c r="S27" s="30">
        <f t="shared" si="3"/>
        <v>0</v>
      </c>
      <c r="T27" s="30">
        <f t="shared" si="4"/>
        <v>355310</v>
      </c>
      <c r="U27" s="30">
        <v>400146</v>
      </c>
      <c r="V27" s="30">
        <f t="shared" si="5"/>
        <v>-44836</v>
      </c>
    </row>
    <row r="28" spans="1:22" x14ac:dyDescent="0.25">
      <c r="A28" s="28" t="s">
        <v>58</v>
      </c>
      <c r="B28" s="29" t="s">
        <v>64</v>
      </c>
      <c r="C28" s="30">
        <v>0</v>
      </c>
      <c r="D28" s="30">
        <v>0</v>
      </c>
      <c r="E28" s="30">
        <v>2</v>
      </c>
      <c r="F28" s="30">
        <v>0</v>
      </c>
      <c r="G28" s="30">
        <v>11269</v>
      </c>
      <c r="H28" s="30">
        <f t="shared" si="0"/>
        <v>32687</v>
      </c>
      <c r="I28" s="30">
        <v>0</v>
      </c>
      <c r="J28" s="30">
        <v>0</v>
      </c>
      <c r="K28" s="30">
        <v>2</v>
      </c>
      <c r="L28" s="30">
        <v>0</v>
      </c>
      <c r="M28" s="30">
        <f t="shared" si="1"/>
        <v>32687</v>
      </c>
      <c r="N28" s="30">
        <f t="shared" si="2"/>
        <v>0</v>
      </c>
      <c r="O28" s="30"/>
      <c r="P28" s="30"/>
      <c r="Q28" s="30"/>
      <c r="R28" s="30"/>
      <c r="S28" s="30">
        <f t="shared" si="3"/>
        <v>0</v>
      </c>
      <c r="T28" s="30">
        <f t="shared" si="4"/>
        <v>32687</v>
      </c>
      <c r="U28" s="30">
        <v>69333</v>
      </c>
      <c r="V28" s="30">
        <f t="shared" si="5"/>
        <v>-36646</v>
      </c>
    </row>
    <row r="29" spans="1:22" x14ac:dyDescent="0.25">
      <c r="A29" s="28" t="s">
        <v>55</v>
      </c>
      <c r="B29" s="29" t="s">
        <v>409</v>
      </c>
      <c r="C29" s="30">
        <v>0</v>
      </c>
      <c r="D29" s="30">
        <v>0</v>
      </c>
      <c r="E29" s="30">
        <v>8</v>
      </c>
      <c r="F29" s="30">
        <v>4</v>
      </c>
      <c r="G29" s="30">
        <v>0</v>
      </c>
      <c r="H29" s="30">
        <f t="shared" si="0"/>
        <v>212453</v>
      </c>
      <c r="I29" s="30">
        <v>0</v>
      </c>
      <c r="J29" s="30">
        <v>0</v>
      </c>
      <c r="K29" s="30">
        <v>8</v>
      </c>
      <c r="L29" s="30">
        <v>4</v>
      </c>
      <c r="M29" s="30">
        <f t="shared" si="1"/>
        <v>212453</v>
      </c>
      <c r="N29" s="30">
        <f t="shared" si="2"/>
        <v>0</v>
      </c>
      <c r="O29" s="30"/>
      <c r="P29" s="30"/>
      <c r="Q29" s="30"/>
      <c r="R29" s="30"/>
      <c r="S29" s="30">
        <f t="shared" si="3"/>
        <v>0</v>
      </c>
      <c r="T29" s="30">
        <f t="shared" si="4"/>
        <v>212453</v>
      </c>
      <c r="U29" s="30">
        <v>226794</v>
      </c>
      <c r="V29" s="30">
        <f t="shared" si="5"/>
        <v>-14341</v>
      </c>
    </row>
    <row r="30" spans="1:22" x14ac:dyDescent="0.25">
      <c r="A30" s="28" t="s">
        <v>55</v>
      </c>
      <c r="B30" s="29" t="s">
        <v>593</v>
      </c>
      <c r="C30" s="30">
        <v>0</v>
      </c>
      <c r="D30" s="30">
        <v>1</v>
      </c>
      <c r="E30" s="30">
        <v>1</v>
      </c>
      <c r="F30" s="30">
        <v>0</v>
      </c>
      <c r="G30" s="30">
        <v>0</v>
      </c>
      <c r="H30" s="30">
        <f t="shared" si="0"/>
        <v>40293</v>
      </c>
      <c r="I30" s="30">
        <v>0</v>
      </c>
      <c r="J30" s="30">
        <v>1</v>
      </c>
      <c r="K30" s="30">
        <v>1</v>
      </c>
      <c r="L30" s="30">
        <v>0</v>
      </c>
      <c r="M30" s="30">
        <f t="shared" si="1"/>
        <v>40293</v>
      </c>
      <c r="N30" s="30">
        <f t="shared" si="2"/>
        <v>0</v>
      </c>
      <c r="O30" s="30"/>
      <c r="P30" s="30"/>
      <c r="Q30" s="30"/>
      <c r="R30" s="30"/>
      <c r="S30" s="30">
        <f t="shared" si="3"/>
        <v>0</v>
      </c>
      <c r="T30" s="30">
        <f t="shared" si="4"/>
        <v>40293</v>
      </c>
      <c r="U30" s="30">
        <v>21557</v>
      </c>
      <c r="V30" s="30">
        <f t="shared" si="5"/>
        <v>18736</v>
      </c>
    </row>
    <row r="31" spans="1:22" x14ac:dyDescent="0.25">
      <c r="A31" s="28" t="s">
        <v>55</v>
      </c>
      <c r="B31" s="29" t="s">
        <v>397</v>
      </c>
      <c r="C31" s="30">
        <v>3</v>
      </c>
      <c r="D31" s="30">
        <v>1</v>
      </c>
      <c r="E31" s="30">
        <v>9</v>
      </c>
      <c r="F31" s="30">
        <v>5</v>
      </c>
      <c r="G31" s="30">
        <v>0</v>
      </c>
      <c r="H31" s="30">
        <f t="shared" si="0"/>
        <v>325090</v>
      </c>
      <c r="I31" s="30">
        <v>3</v>
      </c>
      <c r="J31" s="30">
        <v>1</v>
      </c>
      <c r="K31" s="30">
        <v>9</v>
      </c>
      <c r="L31" s="30">
        <v>5</v>
      </c>
      <c r="M31" s="30">
        <f t="shared" si="1"/>
        <v>325090</v>
      </c>
      <c r="N31" s="30">
        <f t="shared" si="2"/>
        <v>0</v>
      </c>
      <c r="O31" s="30"/>
      <c r="P31" s="30"/>
      <c r="Q31" s="30"/>
      <c r="R31" s="30"/>
      <c r="S31" s="30">
        <f t="shared" si="3"/>
        <v>0</v>
      </c>
      <c r="T31" s="30">
        <f t="shared" si="4"/>
        <v>325090</v>
      </c>
      <c r="U31" s="30">
        <v>361973</v>
      </c>
      <c r="V31" s="30">
        <f t="shared" si="5"/>
        <v>-36883</v>
      </c>
    </row>
    <row r="32" spans="1:22" x14ac:dyDescent="0.25">
      <c r="A32" s="28" t="s">
        <v>52</v>
      </c>
      <c r="B32" s="29" t="s">
        <v>594</v>
      </c>
      <c r="C32" s="30">
        <v>1</v>
      </c>
      <c r="D32" s="30">
        <v>0</v>
      </c>
      <c r="E32" s="30">
        <v>5</v>
      </c>
      <c r="F32" s="30">
        <v>0</v>
      </c>
      <c r="G32" s="30">
        <v>0</v>
      </c>
      <c r="H32" s="30">
        <f t="shared" si="0"/>
        <v>130952</v>
      </c>
      <c r="I32" s="30">
        <v>1</v>
      </c>
      <c r="J32" s="30">
        <v>0</v>
      </c>
      <c r="K32" s="30">
        <v>5</v>
      </c>
      <c r="L32" s="30">
        <v>0</v>
      </c>
      <c r="M32" s="30">
        <f t="shared" si="1"/>
        <v>130952</v>
      </c>
      <c r="N32" s="30">
        <f t="shared" si="2"/>
        <v>0</v>
      </c>
      <c r="O32" s="30"/>
      <c r="P32" s="30"/>
      <c r="Q32" s="30"/>
      <c r="R32" s="30"/>
      <c r="S32" s="30">
        <f t="shared" si="3"/>
        <v>0</v>
      </c>
      <c r="T32" s="30">
        <f t="shared" si="4"/>
        <v>130952</v>
      </c>
      <c r="U32" s="30">
        <v>104692</v>
      </c>
      <c r="V32" s="30">
        <f t="shared" si="5"/>
        <v>26260</v>
      </c>
    </row>
    <row r="33" spans="1:22" x14ac:dyDescent="0.25">
      <c r="A33" s="28" t="s">
        <v>52</v>
      </c>
      <c r="B33" s="29" t="s">
        <v>51</v>
      </c>
      <c r="C33" s="30">
        <v>0</v>
      </c>
      <c r="D33" s="30">
        <v>0</v>
      </c>
      <c r="E33" s="30">
        <v>2</v>
      </c>
      <c r="F33" s="30">
        <v>0</v>
      </c>
      <c r="G33" s="30">
        <v>49280.52</v>
      </c>
      <c r="H33" s="30">
        <f t="shared" si="0"/>
        <v>0</v>
      </c>
      <c r="I33" s="30">
        <v>0</v>
      </c>
      <c r="J33" s="30">
        <v>0</v>
      </c>
      <c r="K33" s="30">
        <v>2</v>
      </c>
      <c r="L33" s="30">
        <v>0</v>
      </c>
      <c r="M33" s="30">
        <f t="shared" si="1"/>
        <v>0</v>
      </c>
      <c r="N33" s="30">
        <f t="shared" si="2"/>
        <v>0</v>
      </c>
      <c r="O33" s="30"/>
      <c r="P33" s="30"/>
      <c r="Q33" s="30"/>
      <c r="R33" s="30"/>
      <c r="S33" s="30">
        <f t="shared" si="3"/>
        <v>0</v>
      </c>
      <c r="T33" s="30">
        <f t="shared" si="4"/>
        <v>0</v>
      </c>
      <c r="U33" s="30">
        <v>82738</v>
      </c>
      <c r="V33" s="30">
        <f t="shared" si="5"/>
        <v>-82738</v>
      </c>
    </row>
    <row r="34" spans="1:22" x14ac:dyDescent="0.25">
      <c r="A34" s="28" t="s">
        <v>52</v>
      </c>
      <c r="B34" s="29" t="s">
        <v>370</v>
      </c>
      <c r="C34" s="30">
        <v>6</v>
      </c>
      <c r="D34" s="30">
        <v>0</v>
      </c>
      <c r="E34" s="30">
        <v>12</v>
      </c>
      <c r="F34" s="30">
        <v>3</v>
      </c>
      <c r="G34" s="30">
        <v>0</v>
      </c>
      <c r="H34" s="30">
        <f t="shared" si="0"/>
        <v>417580</v>
      </c>
      <c r="I34" s="30">
        <v>6</v>
      </c>
      <c r="J34" s="30">
        <v>0</v>
      </c>
      <c r="K34" s="30">
        <v>12</v>
      </c>
      <c r="L34" s="30">
        <v>3</v>
      </c>
      <c r="M34" s="30">
        <f t="shared" si="1"/>
        <v>417580</v>
      </c>
      <c r="N34" s="30">
        <f t="shared" si="2"/>
        <v>0</v>
      </c>
      <c r="O34" s="30"/>
      <c r="P34" s="30"/>
      <c r="Q34" s="30"/>
      <c r="R34" s="30"/>
      <c r="S34" s="30">
        <f t="shared" si="3"/>
        <v>0</v>
      </c>
      <c r="T34" s="30">
        <f t="shared" si="4"/>
        <v>417580</v>
      </c>
      <c r="U34" s="30">
        <v>360176</v>
      </c>
      <c r="V34" s="30">
        <f t="shared" si="5"/>
        <v>57404</v>
      </c>
    </row>
    <row r="35" spans="1:22" x14ac:dyDescent="0.25">
      <c r="A35" s="28" t="s">
        <v>47</v>
      </c>
      <c r="B35" s="29" t="s">
        <v>48</v>
      </c>
      <c r="C35" s="30">
        <v>1</v>
      </c>
      <c r="D35" s="30">
        <v>0</v>
      </c>
      <c r="E35" s="30">
        <v>0</v>
      </c>
      <c r="F35" s="30">
        <v>2</v>
      </c>
      <c r="G35" s="30">
        <v>200.48</v>
      </c>
      <c r="H35" s="30">
        <f t="shared" si="0"/>
        <v>39177</v>
      </c>
      <c r="I35" s="30">
        <v>1</v>
      </c>
      <c r="J35" s="30">
        <v>0</v>
      </c>
      <c r="K35" s="30">
        <v>0</v>
      </c>
      <c r="L35" s="30">
        <v>2</v>
      </c>
      <c r="M35" s="30">
        <f t="shared" si="1"/>
        <v>39177</v>
      </c>
      <c r="N35" s="30">
        <f t="shared" si="2"/>
        <v>0</v>
      </c>
      <c r="O35" s="30"/>
      <c r="P35" s="30"/>
      <c r="Q35" s="30"/>
      <c r="R35" s="30"/>
      <c r="S35" s="30">
        <f t="shared" si="3"/>
        <v>0</v>
      </c>
      <c r="T35" s="30">
        <f t="shared" si="4"/>
        <v>39177</v>
      </c>
      <c r="U35" s="30">
        <v>103675</v>
      </c>
      <c r="V35" s="30">
        <f t="shared" si="5"/>
        <v>-64498</v>
      </c>
    </row>
    <row r="36" spans="1:22" x14ac:dyDescent="0.25">
      <c r="A36" s="28" t="s">
        <v>47</v>
      </c>
      <c r="B36" s="29" t="s">
        <v>353</v>
      </c>
      <c r="C36" s="30">
        <v>5</v>
      </c>
      <c r="D36" s="30">
        <v>2</v>
      </c>
      <c r="E36" s="30">
        <v>0</v>
      </c>
      <c r="F36" s="30">
        <v>1</v>
      </c>
      <c r="G36" s="30">
        <v>0</v>
      </c>
      <c r="H36" s="30">
        <f t="shared" ref="H36:H67" si="6">IF((C36*C$3+D36*D$3+E36*E$3+F36*F$3)*R$88&lt;G36,0,ROUND((C36*C$3+D36*D$3+E36*E$3+F36*F$3)*R$88-G36,0))</f>
        <v>151098</v>
      </c>
      <c r="I36" s="30">
        <v>5</v>
      </c>
      <c r="J36" s="30">
        <v>2</v>
      </c>
      <c r="K36" s="30">
        <v>0</v>
      </c>
      <c r="L36" s="30">
        <v>1</v>
      </c>
      <c r="M36" s="30">
        <f t="shared" si="1"/>
        <v>151098</v>
      </c>
      <c r="N36" s="30">
        <f t="shared" si="2"/>
        <v>0</v>
      </c>
      <c r="O36" s="30"/>
      <c r="P36" s="30"/>
      <c r="Q36" s="30"/>
      <c r="R36" s="30"/>
      <c r="S36" s="30">
        <f t="shared" si="3"/>
        <v>0</v>
      </c>
      <c r="T36" s="30">
        <f t="shared" si="4"/>
        <v>151098</v>
      </c>
      <c r="U36" s="30">
        <v>152146</v>
      </c>
      <c r="V36" s="30">
        <f t="shared" si="5"/>
        <v>-1048</v>
      </c>
    </row>
    <row r="37" spans="1:22" x14ac:dyDescent="0.25">
      <c r="A37" s="28" t="s">
        <v>47</v>
      </c>
      <c r="B37" s="29" t="s">
        <v>349</v>
      </c>
      <c r="C37" s="30"/>
      <c r="D37" s="30"/>
      <c r="E37" s="30"/>
      <c r="F37" s="30"/>
      <c r="G37" s="30">
        <v>0</v>
      </c>
      <c r="H37" s="30">
        <f t="shared" si="6"/>
        <v>0</v>
      </c>
      <c r="I37" s="30"/>
      <c r="J37" s="30"/>
      <c r="K37" s="30"/>
      <c r="L37" s="30"/>
      <c r="M37" s="30">
        <f t="shared" si="1"/>
        <v>0</v>
      </c>
      <c r="N37" s="30">
        <f t="shared" si="2"/>
        <v>0</v>
      </c>
      <c r="O37" s="30"/>
      <c r="P37" s="30"/>
      <c r="Q37" s="30"/>
      <c r="R37" s="30"/>
      <c r="S37" s="30">
        <f t="shared" si="3"/>
        <v>0</v>
      </c>
      <c r="T37" s="30">
        <f t="shared" si="4"/>
        <v>0</v>
      </c>
      <c r="U37" s="30">
        <v>0</v>
      </c>
      <c r="V37" s="30">
        <f t="shared" si="5"/>
        <v>0</v>
      </c>
    </row>
    <row r="38" spans="1:22" x14ac:dyDescent="0.25">
      <c r="A38" s="28" t="s">
        <v>38</v>
      </c>
      <c r="B38" s="29" t="s">
        <v>344</v>
      </c>
      <c r="C38" s="30"/>
      <c r="D38" s="30"/>
      <c r="E38" s="30"/>
      <c r="F38" s="30"/>
      <c r="G38" s="30">
        <v>12336.5</v>
      </c>
      <c r="H38" s="30">
        <f t="shared" si="6"/>
        <v>0</v>
      </c>
      <c r="I38" s="30"/>
      <c r="J38" s="30"/>
      <c r="K38" s="30"/>
      <c r="L38" s="30"/>
      <c r="M38" s="30">
        <f t="shared" si="1"/>
        <v>0</v>
      </c>
      <c r="N38" s="30">
        <f t="shared" si="2"/>
        <v>0</v>
      </c>
      <c r="O38" s="30"/>
      <c r="P38" s="30"/>
      <c r="Q38" s="30"/>
      <c r="R38" s="30"/>
      <c r="S38" s="30">
        <f t="shared" si="3"/>
        <v>0</v>
      </c>
      <c r="T38" s="30">
        <f t="shared" si="4"/>
        <v>0</v>
      </c>
      <c r="U38" s="30">
        <v>0</v>
      </c>
      <c r="V38" s="30">
        <f t="shared" si="5"/>
        <v>0</v>
      </c>
    </row>
    <row r="39" spans="1:22" x14ac:dyDescent="0.25">
      <c r="A39" s="28" t="s">
        <v>38</v>
      </c>
      <c r="B39" s="29" t="s">
        <v>342</v>
      </c>
      <c r="C39" s="30">
        <v>1</v>
      </c>
      <c r="D39" s="30">
        <v>0</v>
      </c>
      <c r="E39" s="30">
        <v>1</v>
      </c>
      <c r="F39" s="30">
        <v>0</v>
      </c>
      <c r="G39" s="30">
        <v>0</v>
      </c>
      <c r="H39" s="30">
        <f t="shared" si="6"/>
        <v>43040</v>
      </c>
      <c r="I39" s="30">
        <v>1</v>
      </c>
      <c r="J39" s="30">
        <v>0</v>
      </c>
      <c r="K39" s="30">
        <v>1</v>
      </c>
      <c r="L39" s="30">
        <v>0</v>
      </c>
      <c r="M39" s="30">
        <f t="shared" si="1"/>
        <v>43040</v>
      </c>
      <c r="N39" s="30">
        <f t="shared" si="2"/>
        <v>0</v>
      </c>
      <c r="O39" s="30"/>
      <c r="P39" s="30"/>
      <c r="Q39" s="30"/>
      <c r="R39" s="30"/>
      <c r="S39" s="30">
        <f t="shared" si="3"/>
        <v>0</v>
      </c>
      <c r="T39" s="30">
        <f t="shared" si="4"/>
        <v>43040</v>
      </c>
      <c r="U39" s="30">
        <v>51197</v>
      </c>
      <c r="V39" s="30">
        <f t="shared" si="5"/>
        <v>-8157</v>
      </c>
    </row>
    <row r="40" spans="1:22" x14ac:dyDescent="0.25">
      <c r="A40" s="28" t="s">
        <v>38</v>
      </c>
      <c r="B40" s="29" t="s">
        <v>336</v>
      </c>
      <c r="C40" s="30">
        <v>1</v>
      </c>
      <c r="D40" s="30">
        <v>0</v>
      </c>
      <c r="E40" s="30">
        <v>4</v>
      </c>
      <c r="F40" s="30">
        <v>0</v>
      </c>
      <c r="G40" s="30">
        <v>0</v>
      </c>
      <c r="H40" s="30">
        <f t="shared" si="6"/>
        <v>108974</v>
      </c>
      <c r="I40" s="30">
        <v>1</v>
      </c>
      <c r="J40" s="30">
        <v>0</v>
      </c>
      <c r="K40" s="30">
        <v>4</v>
      </c>
      <c r="L40" s="30">
        <v>0</v>
      </c>
      <c r="M40" s="30">
        <f t="shared" si="1"/>
        <v>108974</v>
      </c>
      <c r="N40" s="30">
        <f t="shared" si="2"/>
        <v>0</v>
      </c>
      <c r="O40" s="30"/>
      <c r="P40" s="30"/>
      <c r="Q40" s="30"/>
      <c r="R40" s="30"/>
      <c r="S40" s="30">
        <f t="shared" si="3"/>
        <v>0</v>
      </c>
      <c r="T40" s="30">
        <f t="shared" si="4"/>
        <v>108974</v>
      </c>
      <c r="U40" s="30">
        <v>89835</v>
      </c>
      <c r="V40" s="30">
        <f t="shared" si="5"/>
        <v>19139</v>
      </c>
    </row>
    <row r="41" spans="1:22" x14ac:dyDescent="0.25">
      <c r="A41" s="28" t="s">
        <v>38</v>
      </c>
      <c r="B41" s="29" t="s">
        <v>37</v>
      </c>
      <c r="C41" s="30">
        <v>5</v>
      </c>
      <c r="D41" s="30">
        <v>3</v>
      </c>
      <c r="E41" s="30">
        <v>12</v>
      </c>
      <c r="F41" s="30">
        <v>1</v>
      </c>
      <c r="G41" s="30">
        <v>0</v>
      </c>
      <c r="H41" s="30">
        <f t="shared" si="6"/>
        <v>433148</v>
      </c>
      <c r="I41" s="30">
        <v>5</v>
      </c>
      <c r="J41" s="30">
        <v>3</v>
      </c>
      <c r="K41" s="30">
        <v>12</v>
      </c>
      <c r="L41" s="30">
        <v>1</v>
      </c>
      <c r="M41" s="30">
        <f t="shared" si="1"/>
        <v>433148</v>
      </c>
      <c r="N41" s="30">
        <f t="shared" si="2"/>
        <v>0</v>
      </c>
      <c r="O41" s="30"/>
      <c r="P41" s="30"/>
      <c r="Q41" s="30"/>
      <c r="R41" s="30"/>
      <c r="S41" s="30">
        <f t="shared" si="3"/>
        <v>0</v>
      </c>
      <c r="T41" s="30">
        <f t="shared" si="4"/>
        <v>433148</v>
      </c>
      <c r="U41" s="30">
        <v>353346</v>
      </c>
      <c r="V41" s="30">
        <f t="shared" si="5"/>
        <v>79802</v>
      </c>
    </row>
    <row r="42" spans="1:22" x14ac:dyDescent="0.25">
      <c r="A42" s="28" t="s">
        <v>38</v>
      </c>
      <c r="B42" s="29" t="s">
        <v>328</v>
      </c>
      <c r="C42" s="30">
        <v>4</v>
      </c>
      <c r="D42" s="30">
        <v>0</v>
      </c>
      <c r="E42" s="30">
        <v>26</v>
      </c>
      <c r="F42" s="30">
        <v>0</v>
      </c>
      <c r="G42" s="30">
        <v>0</v>
      </c>
      <c r="H42" s="30">
        <f t="shared" si="6"/>
        <v>655675</v>
      </c>
      <c r="I42" s="30">
        <v>4</v>
      </c>
      <c r="J42" s="30">
        <v>0</v>
      </c>
      <c r="K42" s="30">
        <v>26</v>
      </c>
      <c r="L42" s="30">
        <v>0</v>
      </c>
      <c r="M42" s="30">
        <f t="shared" si="1"/>
        <v>655675</v>
      </c>
      <c r="N42" s="30">
        <f t="shared" si="2"/>
        <v>0</v>
      </c>
      <c r="O42" s="30"/>
      <c r="P42" s="30"/>
      <c r="Q42" s="30"/>
      <c r="R42" s="30"/>
      <c r="S42" s="30">
        <f t="shared" si="3"/>
        <v>0</v>
      </c>
      <c r="T42" s="30">
        <f t="shared" si="4"/>
        <v>655675</v>
      </c>
      <c r="U42" s="30">
        <v>726191</v>
      </c>
      <c r="V42" s="30">
        <f t="shared" si="5"/>
        <v>-70516</v>
      </c>
    </row>
    <row r="43" spans="1:22" x14ac:dyDescent="0.25">
      <c r="A43" s="28" t="s">
        <v>38</v>
      </c>
      <c r="B43" s="29" t="s">
        <v>324</v>
      </c>
      <c r="C43" s="30">
        <v>1</v>
      </c>
      <c r="D43" s="30">
        <v>0</v>
      </c>
      <c r="E43" s="30">
        <v>4</v>
      </c>
      <c r="F43" s="30">
        <v>0</v>
      </c>
      <c r="G43" s="30">
        <v>0</v>
      </c>
      <c r="H43" s="30">
        <f t="shared" si="6"/>
        <v>108974</v>
      </c>
      <c r="I43" s="30">
        <v>1</v>
      </c>
      <c r="J43" s="30">
        <v>0</v>
      </c>
      <c r="K43" s="30">
        <v>4</v>
      </c>
      <c r="L43" s="30">
        <v>0</v>
      </c>
      <c r="M43" s="30">
        <f t="shared" si="1"/>
        <v>108974</v>
      </c>
      <c r="N43" s="30">
        <f t="shared" si="2"/>
        <v>0</v>
      </c>
      <c r="O43" s="30"/>
      <c r="P43" s="30"/>
      <c r="Q43" s="30"/>
      <c r="R43" s="30"/>
      <c r="S43" s="30">
        <f t="shared" si="3"/>
        <v>0</v>
      </c>
      <c r="T43" s="30">
        <f t="shared" si="4"/>
        <v>108974</v>
      </c>
      <c r="U43" s="30">
        <v>111214</v>
      </c>
      <c r="V43" s="30">
        <f t="shared" si="5"/>
        <v>-2240</v>
      </c>
    </row>
    <row r="44" spans="1:22" x14ac:dyDescent="0.25">
      <c r="A44" s="28" t="s">
        <v>38</v>
      </c>
      <c r="B44" s="29" t="s">
        <v>322</v>
      </c>
      <c r="C44" s="30">
        <v>2</v>
      </c>
      <c r="D44" s="30">
        <v>0</v>
      </c>
      <c r="E44" s="30">
        <v>6</v>
      </c>
      <c r="F44" s="30">
        <v>0</v>
      </c>
      <c r="G44" s="30">
        <v>0</v>
      </c>
      <c r="H44" s="30">
        <f t="shared" si="6"/>
        <v>173992</v>
      </c>
      <c r="I44" s="30">
        <v>2</v>
      </c>
      <c r="J44" s="30">
        <v>0</v>
      </c>
      <c r="K44" s="30">
        <v>6</v>
      </c>
      <c r="L44" s="30">
        <v>0</v>
      </c>
      <c r="M44" s="30">
        <f t="shared" si="1"/>
        <v>173992</v>
      </c>
      <c r="N44" s="30">
        <f t="shared" si="2"/>
        <v>0</v>
      </c>
      <c r="O44" s="30"/>
      <c r="P44" s="30"/>
      <c r="Q44" s="30"/>
      <c r="R44" s="30"/>
      <c r="S44" s="30">
        <f t="shared" si="3"/>
        <v>0</v>
      </c>
      <c r="T44" s="30">
        <f t="shared" si="4"/>
        <v>173992</v>
      </c>
      <c r="U44" s="30">
        <v>149999</v>
      </c>
      <c r="V44" s="30">
        <f t="shared" si="5"/>
        <v>23993</v>
      </c>
    </row>
    <row r="45" spans="1:22" x14ac:dyDescent="0.25">
      <c r="A45" s="28" t="s">
        <v>38</v>
      </c>
      <c r="B45" s="29" t="s">
        <v>320</v>
      </c>
      <c r="C45" s="30">
        <v>0</v>
      </c>
      <c r="D45" s="30">
        <v>0</v>
      </c>
      <c r="E45" s="30">
        <v>5</v>
      </c>
      <c r="F45" s="30">
        <v>1</v>
      </c>
      <c r="G45" s="30">
        <v>0</v>
      </c>
      <c r="H45" s="30">
        <f t="shared" si="6"/>
        <v>119047</v>
      </c>
      <c r="I45" s="30">
        <v>0</v>
      </c>
      <c r="J45" s="30">
        <v>0</v>
      </c>
      <c r="K45" s="30">
        <v>5</v>
      </c>
      <c r="L45" s="30">
        <v>1</v>
      </c>
      <c r="M45" s="30">
        <f t="shared" si="1"/>
        <v>119047</v>
      </c>
      <c r="N45" s="30">
        <f t="shared" si="2"/>
        <v>0</v>
      </c>
      <c r="O45" s="30"/>
      <c r="P45" s="30"/>
      <c r="Q45" s="30"/>
      <c r="R45" s="30"/>
      <c r="S45" s="30">
        <f t="shared" si="3"/>
        <v>0</v>
      </c>
      <c r="T45" s="30">
        <f t="shared" si="4"/>
        <v>119047</v>
      </c>
      <c r="U45" s="30">
        <v>86227</v>
      </c>
      <c r="V45" s="30">
        <f t="shared" si="5"/>
        <v>32820</v>
      </c>
    </row>
    <row r="46" spans="1:22" x14ac:dyDescent="0.25">
      <c r="A46" s="28" t="s">
        <v>35</v>
      </c>
      <c r="B46" s="29" t="s">
        <v>316</v>
      </c>
      <c r="C46" s="30">
        <v>0</v>
      </c>
      <c r="D46" s="30">
        <v>0</v>
      </c>
      <c r="E46" s="30">
        <v>1</v>
      </c>
      <c r="F46" s="30">
        <v>0</v>
      </c>
      <c r="G46" s="30">
        <v>0</v>
      </c>
      <c r="H46" s="30">
        <f t="shared" si="6"/>
        <v>21978</v>
      </c>
      <c r="I46" s="30">
        <v>0</v>
      </c>
      <c r="J46" s="30">
        <v>0</v>
      </c>
      <c r="K46" s="30">
        <v>1</v>
      </c>
      <c r="L46" s="30">
        <v>0</v>
      </c>
      <c r="M46" s="30">
        <f t="shared" si="1"/>
        <v>21978</v>
      </c>
      <c r="N46" s="30">
        <f t="shared" si="2"/>
        <v>0</v>
      </c>
      <c r="O46" s="30"/>
      <c r="P46" s="30"/>
      <c r="Q46" s="30"/>
      <c r="R46" s="30"/>
      <c r="S46" s="30">
        <f t="shared" si="3"/>
        <v>0</v>
      </c>
      <c r="T46" s="30">
        <f t="shared" si="4"/>
        <v>21978</v>
      </c>
      <c r="U46" s="30">
        <v>21557</v>
      </c>
      <c r="V46" s="30">
        <f t="shared" si="5"/>
        <v>421</v>
      </c>
    </row>
    <row r="47" spans="1:22" x14ac:dyDescent="0.25">
      <c r="A47" s="28" t="s">
        <v>35</v>
      </c>
      <c r="B47" s="29" t="s">
        <v>304</v>
      </c>
      <c r="C47" s="30">
        <v>2</v>
      </c>
      <c r="D47" s="30">
        <v>1</v>
      </c>
      <c r="E47" s="30">
        <v>8</v>
      </c>
      <c r="F47" s="30">
        <v>0</v>
      </c>
      <c r="G47" s="30">
        <v>0</v>
      </c>
      <c r="H47" s="30">
        <f t="shared" si="6"/>
        <v>236263</v>
      </c>
      <c r="I47" s="30">
        <v>2</v>
      </c>
      <c r="J47" s="30">
        <v>1</v>
      </c>
      <c r="K47" s="30">
        <v>8</v>
      </c>
      <c r="L47" s="30">
        <v>0</v>
      </c>
      <c r="M47" s="30">
        <f t="shared" si="1"/>
        <v>236263</v>
      </c>
      <c r="N47" s="30">
        <f t="shared" si="2"/>
        <v>0</v>
      </c>
      <c r="O47" s="30"/>
      <c r="P47" s="30"/>
      <c r="Q47" s="30"/>
      <c r="R47" s="30"/>
      <c r="S47" s="30">
        <f t="shared" si="3"/>
        <v>0</v>
      </c>
      <c r="T47" s="30">
        <f t="shared" si="4"/>
        <v>236263</v>
      </c>
      <c r="U47" s="30">
        <v>156617</v>
      </c>
      <c r="V47" s="30">
        <f t="shared" si="5"/>
        <v>79646</v>
      </c>
    </row>
    <row r="48" spans="1:22" x14ac:dyDescent="0.25">
      <c r="A48" s="28" t="s">
        <v>35</v>
      </c>
      <c r="B48" s="29" t="s">
        <v>302</v>
      </c>
      <c r="C48" s="30">
        <v>4</v>
      </c>
      <c r="D48" s="30">
        <v>0</v>
      </c>
      <c r="E48" s="30">
        <v>6</v>
      </c>
      <c r="F48" s="30">
        <v>3</v>
      </c>
      <c r="G48" s="30">
        <v>0</v>
      </c>
      <c r="H48" s="30">
        <f t="shared" si="6"/>
        <v>243589</v>
      </c>
      <c r="I48" s="30">
        <v>4</v>
      </c>
      <c r="J48" s="30">
        <v>0</v>
      </c>
      <c r="K48" s="30">
        <v>6</v>
      </c>
      <c r="L48" s="30">
        <v>3</v>
      </c>
      <c r="M48" s="30">
        <f t="shared" si="1"/>
        <v>243589</v>
      </c>
      <c r="N48" s="30">
        <f t="shared" si="2"/>
        <v>0</v>
      </c>
      <c r="O48" s="30"/>
      <c r="P48" s="30"/>
      <c r="Q48" s="30"/>
      <c r="R48" s="30"/>
      <c r="S48" s="30">
        <f t="shared" si="3"/>
        <v>0</v>
      </c>
      <c r="T48" s="30">
        <f t="shared" si="4"/>
        <v>243589</v>
      </c>
      <c r="U48" s="30">
        <v>296404</v>
      </c>
      <c r="V48" s="30">
        <f t="shared" si="5"/>
        <v>-52815</v>
      </c>
    </row>
    <row r="49" spans="1:22" x14ac:dyDescent="0.25">
      <c r="A49" s="28" t="s">
        <v>28</v>
      </c>
      <c r="B49" s="29" t="s">
        <v>283</v>
      </c>
      <c r="C49" s="30">
        <v>0</v>
      </c>
      <c r="D49" s="30">
        <v>0</v>
      </c>
      <c r="E49" s="30">
        <v>0</v>
      </c>
      <c r="F49" s="30">
        <v>0</v>
      </c>
      <c r="G49" s="30">
        <v>26135.040000000001</v>
      </c>
      <c r="H49" s="30">
        <f t="shared" si="6"/>
        <v>0</v>
      </c>
      <c r="I49" s="30">
        <v>0</v>
      </c>
      <c r="J49" s="30">
        <v>0</v>
      </c>
      <c r="K49" s="30">
        <v>0</v>
      </c>
      <c r="L49" s="30">
        <v>0</v>
      </c>
      <c r="M49" s="30">
        <f t="shared" si="1"/>
        <v>0</v>
      </c>
      <c r="N49" s="30">
        <f t="shared" si="2"/>
        <v>0</v>
      </c>
      <c r="O49" s="30"/>
      <c r="P49" s="30"/>
      <c r="Q49" s="30"/>
      <c r="R49" s="30"/>
      <c r="S49" s="30">
        <f t="shared" si="3"/>
        <v>0</v>
      </c>
      <c r="T49" s="30">
        <f t="shared" si="4"/>
        <v>0</v>
      </c>
      <c r="U49" s="30">
        <v>0</v>
      </c>
      <c r="V49" s="30">
        <f t="shared" si="5"/>
        <v>0</v>
      </c>
    </row>
    <row r="50" spans="1:22" x14ac:dyDescent="0.25">
      <c r="A50" s="28" t="s">
        <v>28</v>
      </c>
      <c r="B50" s="29" t="s">
        <v>281</v>
      </c>
      <c r="C50" s="30"/>
      <c r="D50" s="30"/>
      <c r="E50" s="30"/>
      <c r="F50" s="30"/>
      <c r="G50" s="30">
        <v>0</v>
      </c>
      <c r="H50" s="30">
        <f t="shared" si="6"/>
        <v>0</v>
      </c>
      <c r="I50" s="30"/>
      <c r="J50" s="30"/>
      <c r="K50" s="30"/>
      <c r="L50" s="30"/>
      <c r="M50" s="30">
        <f t="shared" si="1"/>
        <v>0</v>
      </c>
      <c r="N50" s="30">
        <f t="shared" si="2"/>
        <v>0</v>
      </c>
      <c r="O50" s="30"/>
      <c r="P50" s="30"/>
      <c r="Q50" s="30"/>
      <c r="R50" s="30"/>
      <c r="S50" s="30">
        <f t="shared" si="3"/>
        <v>0</v>
      </c>
      <c r="T50" s="30">
        <f t="shared" si="4"/>
        <v>0</v>
      </c>
      <c r="U50" s="30">
        <v>0</v>
      </c>
      <c r="V50" s="30">
        <f t="shared" si="5"/>
        <v>0</v>
      </c>
    </row>
    <row r="51" spans="1:22" x14ac:dyDescent="0.25">
      <c r="A51" s="28" t="s">
        <v>28</v>
      </c>
      <c r="B51" s="29" t="s">
        <v>595</v>
      </c>
      <c r="C51" s="30">
        <v>1</v>
      </c>
      <c r="D51" s="30">
        <v>4</v>
      </c>
      <c r="E51" s="30">
        <v>0</v>
      </c>
      <c r="F51" s="30">
        <v>1</v>
      </c>
      <c r="G51" s="30">
        <v>0</v>
      </c>
      <c r="H51" s="30">
        <f t="shared" si="6"/>
        <v>103479</v>
      </c>
      <c r="I51" s="30">
        <v>1</v>
      </c>
      <c r="J51" s="301">
        <v>0</v>
      </c>
      <c r="K51" s="30">
        <v>0</v>
      </c>
      <c r="L51" s="301">
        <v>0</v>
      </c>
      <c r="M51" s="30">
        <f t="shared" si="1"/>
        <v>21062</v>
      </c>
      <c r="N51" s="30">
        <f t="shared" si="2"/>
        <v>-82417</v>
      </c>
      <c r="O51" s="30"/>
      <c r="P51" s="30"/>
      <c r="Q51" s="30"/>
      <c r="R51" s="30"/>
      <c r="S51" s="30">
        <f t="shared" si="3"/>
        <v>0</v>
      </c>
      <c r="T51" s="30">
        <f t="shared" si="4"/>
        <v>21062</v>
      </c>
      <c r="U51" s="30">
        <v>18330</v>
      </c>
      <c r="V51" s="30">
        <f t="shared" si="5"/>
        <v>2732</v>
      </c>
    </row>
    <row r="52" spans="1:22" x14ac:dyDescent="0.25">
      <c r="A52" s="28" t="s">
        <v>28</v>
      </c>
      <c r="B52" s="29" t="s">
        <v>596</v>
      </c>
      <c r="C52" s="30">
        <v>0</v>
      </c>
      <c r="D52" s="30">
        <v>16</v>
      </c>
      <c r="E52" s="30">
        <v>3</v>
      </c>
      <c r="F52" s="30">
        <v>3</v>
      </c>
      <c r="G52" s="30">
        <v>8166</v>
      </c>
      <c r="H52" s="30">
        <f t="shared" si="6"/>
        <v>378279</v>
      </c>
      <c r="I52" s="30">
        <v>0</v>
      </c>
      <c r="J52" s="301">
        <v>4</v>
      </c>
      <c r="K52" s="30">
        <v>3</v>
      </c>
      <c r="L52" s="301">
        <v>1</v>
      </c>
      <c r="M52" s="30">
        <f t="shared" si="1"/>
        <v>140185</v>
      </c>
      <c r="N52" s="30">
        <f t="shared" si="2"/>
        <v>-238094</v>
      </c>
      <c r="O52" s="30"/>
      <c r="P52" s="30"/>
      <c r="Q52" s="30"/>
      <c r="R52" s="30"/>
      <c r="S52" s="30">
        <f t="shared" si="3"/>
        <v>0</v>
      </c>
      <c r="T52" s="30">
        <f t="shared" si="4"/>
        <v>140185</v>
      </c>
      <c r="U52" s="30">
        <v>135954</v>
      </c>
      <c r="V52" s="30">
        <f t="shared" si="5"/>
        <v>4231</v>
      </c>
    </row>
    <row r="53" spans="1:22" x14ac:dyDescent="0.25">
      <c r="A53" s="28" t="s">
        <v>28</v>
      </c>
      <c r="B53" s="29" t="s">
        <v>30</v>
      </c>
      <c r="C53" s="30">
        <v>5</v>
      </c>
      <c r="D53" s="30">
        <v>3</v>
      </c>
      <c r="E53" s="30">
        <v>14</v>
      </c>
      <c r="F53" s="30">
        <v>0</v>
      </c>
      <c r="G53" s="30">
        <v>43768.36</v>
      </c>
      <c r="H53" s="30">
        <f t="shared" si="6"/>
        <v>424178</v>
      </c>
      <c r="I53" s="30">
        <v>5</v>
      </c>
      <c r="J53" s="301">
        <v>16</v>
      </c>
      <c r="K53" s="30">
        <v>14</v>
      </c>
      <c r="L53" s="301">
        <v>3</v>
      </c>
      <c r="M53" s="302">
        <f>IF((I53*I$3+J53*J$3+K53*K$3+L53*L$3)*R$88&lt;G53,0,ROUND((I53*I$3+J53*J$3+K53*K$3+L53*L$3)*R$88-G53,0))-1</f>
        <v>689744</v>
      </c>
      <c r="N53" s="30">
        <f t="shared" si="2"/>
        <v>265566</v>
      </c>
      <c r="O53" s="30"/>
      <c r="P53" s="30"/>
      <c r="Q53" s="30"/>
      <c r="R53" s="30"/>
      <c r="S53" s="30">
        <f t="shared" si="3"/>
        <v>0</v>
      </c>
      <c r="T53" s="30">
        <f t="shared" si="4"/>
        <v>689744</v>
      </c>
      <c r="U53" s="30">
        <v>562483</v>
      </c>
      <c r="V53" s="30">
        <f t="shared" si="5"/>
        <v>127261</v>
      </c>
    </row>
    <row r="54" spans="1:22" x14ac:dyDescent="0.25">
      <c r="A54" s="28" t="s">
        <v>28</v>
      </c>
      <c r="B54" s="29" t="s">
        <v>275</v>
      </c>
      <c r="C54" s="30">
        <v>0</v>
      </c>
      <c r="D54" s="30">
        <v>0</v>
      </c>
      <c r="E54" s="30">
        <v>1</v>
      </c>
      <c r="F54" s="30">
        <v>0</v>
      </c>
      <c r="G54" s="30">
        <v>20470.689999999999</v>
      </c>
      <c r="H54" s="30">
        <f t="shared" si="6"/>
        <v>1507</v>
      </c>
      <c r="I54" s="30">
        <v>0</v>
      </c>
      <c r="J54" s="301">
        <v>3</v>
      </c>
      <c r="K54" s="30">
        <v>1</v>
      </c>
      <c r="L54" s="30">
        <v>0</v>
      </c>
      <c r="M54" s="30">
        <f t="shared" ref="M54:M82" si="7">IF((I54*I$3+J54*J$3+K54*K$3+L54*L$3)*R$88&lt;G54,0,ROUND((I54*I$3+J54*J$3+K54*K$3+L54*L$3)*R$88-G54,0))</f>
        <v>56452</v>
      </c>
      <c r="N54" s="30">
        <f t="shared" si="2"/>
        <v>54945</v>
      </c>
      <c r="O54" s="30"/>
      <c r="P54" s="30"/>
      <c r="Q54" s="30"/>
      <c r="R54" s="30"/>
      <c r="S54" s="30">
        <f t="shared" si="3"/>
        <v>0</v>
      </c>
      <c r="T54" s="30">
        <f t="shared" si="4"/>
        <v>56452</v>
      </c>
      <c r="U54" s="30">
        <v>49737</v>
      </c>
      <c r="V54" s="30">
        <f t="shared" si="5"/>
        <v>6715</v>
      </c>
    </row>
    <row r="55" spans="1:22" x14ac:dyDescent="0.25">
      <c r="A55" s="28" t="s">
        <v>28</v>
      </c>
      <c r="B55" s="29" t="s">
        <v>265</v>
      </c>
      <c r="C55" s="30">
        <v>1</v>
      </c>
      <c r="D55" s="30">
        <v>0</v>
      </c>
      <c r="E55" s="30">
        <v>4</v>
      </c>
      <c r="F55" s="30">
        <v>0</v>
      </c>
      <c r="G55" s="30">
        <v>9570.4</v>
      </c>
      <c r="H55" s="30">
        <f t="shared" si="6"/>
        <v>99403</v>
      </c>
      <c r="I55" s="30">
        <v>1</v>
      </c>
      <c r="J55" s="30">
        <v>0</v>
      </c>
      <c r="K55" s="30">
        <v>4</v>
      </c>
      <c r="L55" s="30">
        <v>0</v>
      </c>
      <c r="M55" s="30">
        <f t="shared" si="7"/>
        <v>99403</v>
      </c>
      <c r="N55" s="30">
        <f t="shared" si="2"/>
        <v>0</v>
      </c>
      <c r="O55" s="30"/>
      <c r="P55" s="30"/>
      <c r="Q55" s="30"/>
      <c r="R55" s="30"/>
      <c r="S55" s="30">
        <f t="shared" si="3"/>
        <v>0</v>
      </c>
      <c r="T55" s="30">
        <f t="shared" si="4"/>
        <v>99403</v>
      </c>
      <c r="U55" s="30">
        <v>145269</v>
      </c>
      <c r="V55" s="30">
        <f t="shared" si="5"/>
        <v>-45866</v>
      </c>
    </row>
    <row r="56" spans="1:22" x14ac:dyDescent="0.25">
      <c r="A56" s="28" t="s">
        <v>24</v>
      </c>
      <c r="B56" s="29" t="s">
        <v>249</v>
      </c>
      <c r="C56" s="30">
        <v>7</v>
      </c>
      <c r="D56" s="30">
        <v>4</v>
      </c>
      <c r="E56" s="30">
        <v>7</v>
      </c>
      <c r="F56" s="30">
        <v>0</v>
      </c>
      <c r="G56" s="30">
        <v>0</v>
      </c>
      <c r="H56" s="30">
        <f t="shared" si="6"/>
        <v>374540</v>
      </c>
      <c r="I56" s="30">
        <v>7</v>
      </c>
      <c r="J56" s="30">
        <v>4</v>
      </c>
      <c r="K56" s="30">
        <v>7</v>
      </c>
      <c r="L56" s="30">
        <v>0</v>
      </c>
      <c r="M56" s="30">
        <f t="shared" si="7"/>
        <v>374540</v>
      </c>
      <c r="N56" s="30">
        <f t="shared" si="2"/>
        <v>0</v>
      </c>
      <c r="O56" s="30"/>
      <c r="P56" s="30"/>
      <c r="Q56" s="30"/>
      <c r="R56" s="30"/>
      <c r="S56" s="30">
        <f t="shared" si="3"/>
        <v>0</v>
      </c>
      <c r="T56" s="30">
        <f t="shared" si="4"/>
        <v>374540</v>
      </c>
      <c r="U56" s="30">
        <v>396104</v>
      </c>
      <c r="V56" s="30">
        <f t="shared" si="5"/>
        <v>-21564</v>
      </c>
    </row>
    <row r="57" spans="1:22" x14ac:dyDescent="0.25">
      <c r="A57" s="28" t="s">
        <v>24</v>
      </c>
      <c r="B57" s="29" t="s">
        <v>247</v>
      </c>
      <c r="C57" s="30">
        <v>0</v>
      </c>
      <c r="D57" s="30">
        <v>3</v>
      </c>
      <c r="E57" s="30">
        <v>12</v>
      </c>
      <c r="F57" s="30">
        <v>0</v>
      </c>
      <c r="G57" s="30">
        <v>10801.6</v>
      </c>
      <c r="H57" s="30">
        <f t="shared" si="6"/>
        <v>307878</v>
      </c>
      <c r="I57" s="30">
        <v>0</v>
      </c>
      <c r="J57" s="30">
        <v>3</v>
      </c>
      <c r="K57" s="30">
        <v>12</v>
      </c>
      <c r="L57" s="30">
        <v>0</v>
      </c>
      <c r="M57" s="30">
        <f t="shared" si="7"/>
        <v>307878</v>
      </c>
      <c r="N57" s="30">
        <f t="shared" si="2"/>
        <v>0</v>
      </c>
      <c r="O57" s="30"/>
      <c r="P57" s="30"/>
      <c r="Q57" s="30"/>
      <c r="R57" s="30"/>
      <c r="S57" s="30">
        <f t="shared" si="3"/>
        <v>0</v>
      </c>
      <c r="T57" s="30">
        <f t="shared" si="4"/>
        <v>307878</v>
      </c>
      <c r="U57" s="30">
        <v>306678</v>
      </c>
      <c r="V57" s="30">
        <f t="shared" si="5"/>
        <v>1200</v>
      </c>
    </row>
    <row r="58" spans="1:22" x14ac:dyDescent="0.25">
      <c r="A58" s="28" t="s">
        <v>24</v>
      </c>
      <c r="B58" s="29" t="s">
        <v>243</v>
      </c>
      <c r="C58" s="30">
        <v>1</v>
      </c>
      <c r="D58" s="30">
        <v>2</v>
      </c>
      <c r="E58" s="30">
        <v>13</v>
      </c>
      <c r="F58" s="30">
        <v>0</v>
      </c>
      <c r="G58" s="30">
        <v>0</v>
      </c>
      <c r="H58" s="30">
        <f t="shared" si="6"/>
        <v>343405</v>
      </c>
      <c r="I58" s="30">
        <v>1</v>
      </c>
      <c r="J58" s="30">
        <v>2</v>
      </c>
      <c r="K58" s="30">
        <v>13</v>
      </c>
      <c r="L58" s="30">
        <v>0</v>
      </c>
      <c r="M58" s="30">
        <f t="shared" si="7"/>
        <v>343405</v>
      </c>
      <c r="N58" s="30">
        <f t="shared" si="2"/>
        <v>0</v>
      </c>
      <c r="O58" s="30"/>
      <c r="P58" s="30"/>
      <c r="Q58" s="30"/>
      <c r="R58" s="30"/>
      <c r="S58" s="30">
        <f t="shared" si="3"/>
        <v>0</v>
      </c>
      <c r="T58" s="30">
        <f t="shared" si="4"/>
        <v>343405</v>
      </c>
      <c r="U58" s="30">
        <v>304039</v>
      </c>
      <c r="V58" s="30">
        <f t="shared" si="5"/>
        <v>39366</v>
      </c>
    </row>
    <row r="59" spans="1:22" x14ac:dyDescent="0.25">
      <c r="A59" s="28" t="s">
        <v>24</v>
      </c>
      <c r="B59" s="29" t="s">
        <v>239</v>
      </c>
      <c r="C59" s="30">
        <v>0</v>
      </c>
      <c r="D59" s="30">
        <v>1</v>
      </c>
      <c r="E59" s="30">
        <v>5</v>
      </c>
      <c r="F59" s="30">
        <v>0</v>
      </c>
      <c r="G59" s="30">
        <v>3851.92</v>
      </c>
      <c r="H59" s="30">
        <f t="shared" si="6"/>
        <v>124353</v>
      </c>
      <c r="I59" s="30">
        <v>0</v>
      </c>
      <c r="J59" s="30">
        <v>1</v>
      </c>
      <c r="K59" s="30">
        <v>5</v>
      </c>
      <c r="L59" s="30">
        <v>0</v>
      </c>
      <c r="M59" s="30">
        <f t="shared" si="7"/>
        <v>124353</v>
      </c>
      <c r="N59" s="30">
        <f t="shared" si="2"/>
        <v>0</v>
      </c>
      <c r="O59" s="30"/>
      <c r="P59" s="30"/>
      <c r="Q59" s="30"/>
      <c r="R59" s="30"/>
      <c r="S59" s="30">
        <f t="shared" si="3"/>
        <v>0</v>
      </c>
      <c r="T59" s="30">
        <f t="shared" si="4"/>
        <v>124353</v>
      </c>
      <c r="U59" s="30">
        <v>151030</v>
      </c>
      <c r="V59" s="30">
        <f t="shared" si="5"/>
        <v>-26677</v>
      </c>
    </row>
    <row r="60" spans="1:22" x14ac:dyDescent="0.25">
      <c r="A60" s="28" t="s">
        <v>20</v>
      </c>
      <c r="B60" s="29" t="s">
        <v>225</v>
      </c>
      <c r="C60" s="30">
        <v>0</v>
      </c>
      <c r="D60" s="30">
        <v>0</v>
      </c>
      <c r="E60" s="30">
        <v>1</v>
      </c>
      <c r="F60" s="30">
        <v>0</v>
      </c>
      <c r="G60" s="30">
        <v>0</v>
      </c>
      <c r="H60" s="30">
        <f t="shared" si="6"/>
        <v>21978</v>
      </c>
      <c r="I60" s="30">
        <v>0</v>
      </c>
      <c r="J60" s="30">
        <v>0</v>
      </c>
      <c r="K60" s="30">
        <v>1</v>
      </c>
      <c r="L60" s="30">
        <v>0</v>
      </c>
      <c r="M60" s="30">
        <f t="shared" si="7"/>
        <v>21978</v>
      </c>
      <c r="N60" s="30">
        <f t="shared" si="2"/>
        <v>0</v>
      </c>
      <c r="O60" s="30"/>
      <c r="P60" s="30"/>
      <c r="Q60" s="30"/>
      <c r="R60" s="30"/>
      <c r="S60" s="30">
        <f t="shared" si="3"/>
        <v>0</v>
      </c>
      <c r="T60" s="30">
        <f t="shared" si="4"/>
        <v>21978</v>
      </c>
      <c r="U60" s="30">
        <v>21557</v>
      </c>
      <c r="V60" s="30">
        <f t="shared" si="5"/>
        <v>421</v>
      </c>
    </row>
    <row r="61" spans="1:22" x14ac:dyDescent="0.25">
      <c r="A61" s="32" t="s">
        <v>20</v>
      </c>
      <c r="B61" s="29" t="s">
        <v>215</v>
      </c>
      <c r="C61" s="30"/>
      <c r="D61" s="30"/>
      <c r="E61" s="30"/>
      <c r="F61" s="30"/>
      <c r="G61" s="30">
        <v>0</v>
      </c>
      <c r="H61" s="30">
        <f t="shared" si="6"/>
        <v>0</v>
      </c>
      <c r="I61" s="30"/>
      <c r="J61" s="30"/>
      <c r="K61" s="30"/>
      <c r="L61" s="30"/>
      <c r="M61" s="30">
        <f t="shared" si="7"/>
        <v>0</v>
      </c>
      <c r="N61" s="30">
        <f t="shared" si="2"/>
        <v>0</v>
      </c>
      <c r="O61" s="30"/>
      <c r="P61" s="30"/>
      <c r="Q61" s="30"/>
      <c r="R61" s="30"/>
      <c r="S61" s="30">
        <f t="shared" si="3"/>
        <v>0</v>
      </c>
      <c r="T61" s="30">
        <f t="shared" si="4"/>
        <v>0</v>
      </c>
      <c r="U61" s="30">
        <v>0</v>
      </c>
      <c r="V61" s="30">
        <f t="shared" si="5"/>
        <v>0</v>
      </c>
    </row>
    <row r="62" spans="1:22" x14ac:dyDescent="0.25">
      <c r="A62" s="32" t="s">
        <v>20</v>
      </c>
      <c r="B62" s="29" t="s">
        <v>597</v>
      </c>
      <c r="C62" s="30">
        <v>5</v>
      </c>
      <c r="D62" s="30">
        <v>1</v>
      </c>
      <c r="E62" s="30">
        <v>6</v>
      </c>
      <c r="F62" s="30">
        <v>4</v>
      </c>
      <c r="G62" s="30">
        <v>0</v>
      </c>
      <c r="H62" s="30">
        <f t="shared" si="6"/>
        <v>292123</v>
      </c>
      <c r="I62" s="30">
        <v>5</v>
      </c>
      <c r="J62" s="30">
        <v>1</v>
      </c>
      <c r="K62" s="30">
        <v>6</v>
      </c>
      <c r="L62" s="30">
        <v>4</v>
      </c>
      <c r="M62" s="30">
        <f t="shared" si="7"/>
        <v>292123</v>
      </c>
      <c r="N62" s="30">
        <f t="shared" si="2"/>
        <v>0</v>
      </c>
      <c r="O62" s="30"/>
      <c r="P62" s="30"/>
      <c r="Q62" s="30"/>
      <c r="R62" s="30"/>
      <c r="S62" s="30">
        <f t="shared" si="3"/>
        <v>0</v>
      </c>
      <c r="T62" s="30">
        <f t="shared" si="4"/>
        <v>292123</v>
      </c>
      <c r="U62" s="30">
        <v>270357</v>
      </c>
      <c r="V62" s="30">
        <f t="shared" si="5"/>
        <v>21766</v>
      </c>
    </row>
    <row r="63" spans="1:22" x14ac:dyDescent="0.25">
      <c r="A63" s="28" t="s">
        <v>13</v>
      </c>
      <c r="B63" s="29" t="s">
        <v>598</v>
      </c>
      <c r="C63" s="30">
        <v>8</v>
      </c>
      <c r="D63" s="30">
        <v>0</v>
      </c>
      <c r="E63" s="30">
        <v>9</v>
      </c>
      <c r="F63" s="30">
        <v>1</v>
      </c>
      <c r="G63" s="30">
        <v>0</v>
      </c>
      <c r="H63" s="30">
        <f t="shared" si="6"/>
        <v>375456</v>
      </c>
      <c r="I63" s="30">
        <v>8</v>
      </c>
      <c r="J63" s="30">
        <v>0</v>
      </c>
      <c r="K63" s="30">
        <v>9</v>
      </c>
      <c r="L63" s="30">
        <v>1</v>
      </c>
      <c r="M63" s="30">
        <f t="shared" si="7"/>
        <v>375456</v>
      </c>
      <c r="N63" s="30">
        <f t="shared" si="2"/>
        <v>0</v>
      </c>
      <c r="O63" s="30"/>
      <c r="P63" s="30"/>
      <c r="Q63" s="30"/>
      <c r="R63" s="30"/>
      <c r="S63" s="30">
        <f t="shared" si="3"/>
        <v>0</v>
      </c>
      <c r="T63" s="30">
        <f t="shared" si="4"/>
        <v>375456</v>
      </c>
      <c r="U63" s="30">
        <v>393858</v>
      </c>
      <c r="V63" s="30">
        <f t="shared" si="5"/>
        <v>-18402</v>
      </c>
    </row>
    <row r="64" spans="1:22" x14ac:dyDescent="0.25">
      <c r="A64" s="28" t="s">
        <v>13</v>
      </c>
      <c r="B64" s="29" t="s">
        <v>198</v>
      </c>
      <c r="C64" s="30">
        <v>2</v>
      </c>
      <c r="D64" s="30">
        <v>0</v>
      </c>
      <c r="E64" s="30">
        <v>0</v>
      </c>
      <c r="F64" s="30">
        <v>1</v>
      </c>
      <c r="G64" s="30">
        <v>0</v>
      </c>
      <c r="H64" s="30">
        <f t="shared" si="6"/>
        <v>51282</v>
      </c>
      <c r="I64" s="30">
        <v>2</v>
      </c>
      <c r="J64" s="30">
        <v>0</v>
      </c>
      <c r="K64" s="30">
        <v>0</v>
      </c>
      <c r="L64" s="30">
        <v>1</v>
      </c>
      <c r="M64" s="30">
        <f t="shared" si="7"/>
        <v>51282</v>
      </c>
      <c r="N64" s="30">
        <f t="shared" si="2"/>
        <v>0</v>
      </c>
      <c r="O64" s="30"/>
      <c r="P64" s="30"/>
      <c r="Q64" s="30"/>
      <c r="R64" s="30"/>
      <c r="S64" s="30">
        <f t="shared" si="3"/>
        <v>0</v>
      </c>
      <c r="T64" s="30">
        <f t="shared" si="4"/>
        <v>51282</v>
      </c>
      <c r="U64" s="30">
        <v>64114</v>
      </c>
      <c r="V64" s="30">
        <f t="shared" si="5"/>
        <v>-12832</v>
      </c>
    </row>
    <row r="65" spans="1:22" x14ac:dyDescent="0.25">
      <c r="A65" s="28" t="s">
        <v>13</v>
      </c>
      <c r="B65" s="29" t="s">
        <v>599</v>
      </c>
      <c r="C65" s="30">
        <v>3</v>
      </c>
      <c r="D65" s="30">
        <v>0</v>
      </c>
      <c r="E65" s="30">
        <v>2</v>
      </c>
      <c r="F65" s="30">
        <v>0</v>
      </c>
      <c r="G65" s="30">
        <v>12044</v>
      </c>
      <c r="H65" s="30">
        <f t="shared" si="6"/>
        <v>95098</v>
      </c>
      <c r="I65" s="30">
        <v>3</v>
      </c>
      <c r="J65" s="30">
        <v>0</v>
      </c>
      <c r="K65" s="30">
        <v>2</v>
      </c>
      <c r="L65" s="30">
        <v>0</v>
      </c>
      <c r="M65" s="30">
        <f t="shared" si="7"/>
        <v>95098</v>
      </c>
      <c r="N65" s="30">
        <f t="shared" si="2"/>
        <v>0</v>
      </c>
      <c r="O65" s="30"/>
      <c r="P65" s="30"/>
      <c r="Q65" s="30"/>
      <c r="R65" s="30"/>
      <c r="S65" s="30">
        <f t="shared" si="3"/>
        <v>0</v>
      </c>
      <c r="T65" s="30">
        <f t="shared" si="4"/>
        <v>95098</v>
      </c>
      <c r="U65" s="30">
        <v>133908</v>
      </c>
      <c r="V65" s="30">
        <f t="shared" si="5"/>
        <v>-38810</v>
      </c>
    </row>
    <row r="66" spans="1:22" x14ac:dyDescent="0.25">
      <c r="A66" s="28" t="s">
        <v>13</v>
      </c>
      <c r="B66" s="29" t="s">
        <v>192</v>
      </c>
      <c r="C66" s="30">
        <v>1</v>
      </c>
      <c r="D66" s="30">
        <v>0</v>
      </c>
      <c r="E66" s="30">
        <v>0</v>
      </c>
      <c r="F66" s="30">
        <v>0</v>
      </c>
      <c r="G66" s="30">
        <v>0</v>
      </c>
      <c r="H66" s="30">
        <f t="shared" si="6"/>
        <v>21062</v>
      </c>
      <c r="I66" s="30">
        <v>1</v>
      </c>
      <c r="J66" s="30">
        <v>0</v>
      </c>
      <c r="K66" s="30">
        <v>0</v>
      </c>
      <c r="L66" s="30">
        <v>0</v>
      </c>
      <c r="M66" s="30">
        <f t="shared" si="7"/>
        <v>21062</v>
      </c>
      <c r="N66" s="30">
        <f t="shared" si="2"/>
        <v>0</v>
      </c>
      <c r="O66" s="30"/>
      <c r="P66" s="30"/>
      <c r="Q66" s="30"/>
      <c r="R66" s="30"/>
      <c r="S66" s="30">
        <f t="shared" si="3"/>
        <v>0</v>
      </c>
      <c r="T66" s="30">
        <f t="shared" si="4"/>
        <v>21062</v>
      </c>
      <c r="U66" s="30">
        <v>20658</v>
      </c>
      <c r="V66" s="30">
        <f t="shared" si="5"/>
        <v>404</v>
      </c>
    </row>
    <row r="67" spans="1:22" x14ac:dyDescent="0.25">
      <c r="A67" s="28" t="s">
        <v>13</v>
      </c>
      <c r="B67" s="29" t="s">
        <v>186</v>
      </c>
      <c r="C67" s="30">
        <v>1</v>
      </c>
      <c r="D67" s="30">
        <v>0</v>
      </c>
      <c r="E67" s="30">
        <v>4</v>
      </c>
      <c r="F67" s="30">
        <v>0</v>
      </c>
      <c r="G67" s="30">
        <v>0</v>
      </c>
      <c r="H67" s="30">
        <f t="shared" si="6"/>
        <v>108974</v>
      </c>
      <c r="I67" s="30">
        <v>1</v>
      </c>
      <c r="J67" s="30">
        <v>0</v>
      </c>
      <c r="K67" s="30">
        <v>4</v>
      </c>
      <c r="L67" s="30">
        <v>0</v>
      </c>
      <c r="M67" s="30">
        <f t="shared" si="7"/>
        <v>108974</v>
      </c>
      <c r="N67" s="30">
        <f t="shared" si="2"/>
        <v>0</v>
      </c>
      <c r="O67" s="30"/>
      <c r="P67" s="30"/>
      <c r="Q67" s="30"/>
      <c r="R67" s="30"/>
      <c r="S67" s="30">
        <f t="shared" si="3"/>
        <v>0</v>
      </c>
      <c r="T67" s="30">
        <f t="shared" si="4"/>
        <v>108974</v>
      </c>
      <c r="U67" s="30">
        <v>96556</v>
      </c>
      <c r="V67" s="30">
        <f t="shared" si="5"/>
        <v>12418</v>
      </c>
    </row>
    <row r="68" spans="1:22" x14ac:dyDescent="0.25">
      <c r="A68" s="28" t="s">
        <v>13</v>
      </c>
      <c r="B68" s="29" t="s">
        <v>184</v>
      </c>
      <c r="C68" s="30">
        <v>0</v>
      </c>
      <c r="D68" s="30">
        <v>1</v>
      </c>
      <c r="E68" s="30">
        <v>4</v>
      </c>
      <c r="F68" s="30">
        <v>1</v>
      </c>
      <c r="G68" s="30">
        <v>3379.53</v>
      </c>
      <c r="H68" s="30">
        <f t="shared" ref="H68:H82" si="8">IF((C68*C$3+D68*D$3+E68*E$3+F68*F$3)*R$88&lt;G68,0,ROUND((C68*C$3+D68*D$3+E68*E$3+F68*F$3)*R$88-G68,0))</f>
        <v>112005</v>
      </c>
      <c r="I68" s="30">
        <v>0</v>
      </c>
      <c r="J68" s="30">
        <v>1</v>
      </c>
      <c r="K68" s="30">
        <v>4</v>
      </c>
      <c r="L68" s="30">
        <v>1</v>
      </c>
      <c r="M68" s="30">
        <f t="shared" si="7"/>
        <v>112005</v>
      </c>
      <c r="N68" s="30">
        <f t="shared" si="2"/>
        <v>0</v>
      </c>
      <c r="O68" s="30"/>
      <c r="P68" s="30"/>
      <c r="Q68" s="30"/>
      <c r="R68" s="30"/>
      <c r="S68" s="30">
        <f t="shared" si="3"/>
        <v>0</v>
      </c>
      <c r="T68" s="30">
        <f t="shared" si="4"/>
        <v>112005</v>
      </c>
      <c r="U68" s="30">
        <v>102270</v>
      </c>
      <c r="V68" s="30">
        <f t="shared" si="5"/>
        <v>9735</v>
      </c>
    </row>
    <row r="69" spans="1:22" x14ac:dyDescent="0.25">
      <c r="A69" s="28" t="s">
        <v>13</v>
      </c>
      <c r="B69" s="29" t="s">
        <v>174</v>
      </c>
      <c r="C69" s="30">
        <v>1</v>
      </c>
      <c r="D69" s="30">
        <v>0</v>
      </c>
      <c r="E69" s="30">
        <v>0</v>
      </c>
      <c r="F69" s="30">
        <v>0</v>
      </c>
      <c r="G69" s="30">
        <v>21943</v>
      </c>
      <c r="H69" s="30">
        <f t="shared" si="8"/>
        <v>0</v>
      </c>
      <c r="I69" s="30">
        <v>1</v>
      </c>
      <c r="J69" s="30">
        <v>0</v>
      </c>
      <c r="K69" s="30">
        <v>0</v>
      </c>
      <c r="L69" s="30">
        <v>0</v>
      </c>
      <c r="M69" s="30">
        <f t="shared" si="7"/>
        <v>0</v>
      </c>
      <c r="N69" s="30">
        <f t="shared" ref="N69:N82" si="9">M69-H69</f>
        <v>0</v>
      </c>
      <c r="O69" s="30"/>
      <c r="P69" s="30"/>
      <c r="Q69" s="30"/>
      <c r="R69" s="30"/>
      <c r="S69" s="30">
        <f t="shared" ref="S69:S82" si="10">IF(ROUND((O69*O$3+P69*P$3+Q69*Q$3+R69*R$3)/2*S$88+(C69*C$3+D69*D$3+E69*E$3+F69*F$3)/2*S$88,0)&lt;H69+G69,0,ROUND((O69*O$3+P69*P$3+Q69*Q$3+R69*R$3)/2*S$88+(C69*C$3+D69*D$3+E69*E$3+F69*F$3)/2*S$88-H69-G69,0))</f>
        <v>0</v>
      </c>
      <c r="T69" s="30">
        <f t="shared" ref="T69:T82" si="11">M69+S69</f>
        <v>0</v>
      </c>
      <c r="U69" s="30">
        <v>45448</v>
      </c>
      <c r="V69" s="30">
        <f t="shared" ref="V69:V82" si="12">T69-U69</f>
        <v>-45448</v>
      </c>
    </row>
    <row r="70" spans="1:22" x14ac:dyDescent="0.25">
      <c r="A70" s="28" t="s">
        <v>13</v>
      </c>
      <c r="B70" s="29" t="s">
        <v>15</v>
      </c>
      <c r="C70" s="30">
        <v>47</v>
      </c>
      <c r="D70" s="30">
        <v>16</v>
      </c>
      <c r="E70" s="30">
        <v>13</v>
      </c>
      <c r="F70" s="30">
        <v>9</v>
      </c>
      <c r="G70" s="30">
        <v>0.14000000000000001</v>
      </c>
      <c r="H70" s="30">
        <f t="shared" si="8"/>
        <v>1651091</v>
      </c>
      <c r="I70" s="30">
        <v>47</v>
      </c>
      <c r="J70" s="30">
        <v>16</v>
      </c>
      <c r="K70" s="30">
        <v>13</v>
      </c>
      <c r="L70" s="30">
        <v>9</v>
      </c>
      <c r="M70" s="30">
        <f t="shared" si="7"/>
        <v>1651091</v>
      </c>
      <c r="N70" s="30">
        <f t="shared" si="9"/>
        <v>0</v>
      </c>
      <c r="O70" s="30"/>
      <c r="P70" s="30"/>
      <c r="Q70" s="30"/>
      <c r="R70" s="30"/>
      <c r="S70" s="30">
        <f t="shared" si="10"/>
        <v>0</v>
      </c>
      <c r="T70" s="30">
        <f t="shared" si="11"/>
        <v>1651091</v>
      </c>
      <c r="U70" s="30">
        <v>1582619</v>
      </c>
      <c r="V70" s="30">
        <f t="shared" si="12"/>
        <v>68472</v>
      </c>
    </row>
    <row r="71" spans="1:22" x14ac:dyDescent="0.25">
      <c r="A71" s="28" t="s">
        <v>10</v>
      </c>
      <c r="B71" s="29" t="s">
        <v>154</v>
      </c>
      <c r="C71" s="30">
        <v>9</v>
      </c>
      <c r="D71" s="30">
        <v>0</v>
      </c>
      <c r="E71" s="30">
        <v>1</v>
      </c>
      <c r="F71" s="30">
        <v>0</v>
      </c>
      <c r="G71" s="30">
        <v>0</v>
      </c>
      <c r="H71" s="30">
        <f t="shared" si="8"/>
        <v>211537</v>
      </c>
      <c r="I71" s="30">
        <v>9</v>
      </c>
      <c r="J71" s="30">
        <v>0</v>
      </c>
      <c r="K71" s="30">
        <v>1</v>
      </c>
      <c r="L71" s="30">
        <v>0</v>
      </c>
      <c r="M71" s="30">
        <f t="shared" si="7"/>
        <v>211537</v>
      </c>
      <c r="N71" s="30">
        <f t="shared" si="9"/>
        <v>0</v>
      </c>
      <c r="O71" s="30"/>
      <c r="P71" s="30"/>
      <c r="Q71" s="30"/>
      <c r="R71" s="30"/>
      <c r="S71" s="30">
        <f t="shared" si="10"/>
        <v>0</v>
      </c>
      <c r="T71" s="30">
        <f t="shared" si="11"/>
        <v>211537</v>
      </c>
      <c r="U71" s="30">
        <v>207034</v>
      </c>
      <c r="V71" s="30">
        <f t="shared" si="12"/>
        <v>4503</v>
      </c>
    </row>
    <row r="72" spans="1:22" x14ac:dyDescent="0.25">
      <c r="A72" s="28" t="s">
        <v>10</v>
      </c>
      <c r="B72" s="29" t="s">
        <v>600</v>
      </c>
      <c r="C72" s="30">
        <v>0</v>
      </c>
      <c r="D72" s="30">
        <v>0</v>
      </c>
      <c r="E72" s="30">
        <v>2</v>
      </c>
      <c r="F72" s="30">
        <v>0</v>
      </c>
      <c r="G72" s="30">
        <v>0</v>
      </c>
      <c r="H72" s="30">
        <f t="shared" si="8"/>
        <v>43956</v>
      </c>
      <c r="I72" s="30">
        <v>0</v>
      </c>
      <c r="J72" s="30">
        <v>0</v>
      </c>
      <c r="K72" s="30">
        <v>2</v>
      </c>
      <c r="L72" s="30">
        <v>0</v>
      </c>
      <c r="M72" s="30">
        <f t="shared" si="7"/>
        <v>43956</v>
      </c>
      <c r="N72" s="30">
        <f t="shared" si="9"/>
        <v>0</v>
      </c>
      <c r="O72" s="30"/>
      <c r="P72" s="30"/>
      <c r="Q72" s="30"/>
      <c r="R72" s="30"/>
      <c r="S72" s="30">
        <f t="shared" si="10"/>
        <v>0</v>
      </c>
      <c r="T72" s="30">
        <f t="shared" si="11"/>
        <v>43956</v>
      </c>
      <c r="U72" s="30">
        <v>95765</v>
      </c>
      <c r="V72" s="30">
        <f t="shared" si="12"/>
        <v>-51809</v>
      </c>
    </row>
    <row r="73" spans="1:22" x14ac:dyDescent="0.25">
      <c r="A73" s="28" t="s">
        <v>10</v>
      </c>
      <c r="B73" s="29" t="s">
        <v>601</v>
      </c>
      <c r="C73" s="30">
        <v>14</v>
      </c>
      <c r="D73" s="30">
        <v>1</v>
      </c>
      <c r="E73" s="30">
        <v>5</v>
      </c>
      <c r="F73" s="30">
        <v>0</v>
      </c>
      <c r="G73" s="30">
        <v>0</v>
      </c>
      <c r="H73" s="30">
        <f t="shared" si="8"/>
        <v>423075</v>
      </c>
      <c r="I73" s="30">
        <v>14</v>
      </c>
      <c r="J73" s="30">
        <v>1</v>
      </c>
      <c r="K73" s="30">
        <v>5</v>
      </c>
      <c r="L73" s="30">
        <v>0</v>
      </c>
      <c r="M73" s="30">
        <f t="shared" si="7"/>
        <v>423075</v>
      </c>
      <c r="N73" s="30">
        <f t="shared" si="9"/>
        <v>0</v>
      </c>
      <c r="O73" s="30"/>
      <c r="P73" s="30"/>
      <c r="Q73" s="30"/>
      <c r="R73" s="30"/>
      <c r="S73" s="30">
        <f t="shared" si="10"/>
        <v>0</v>
      </c>
      <c r="T73" s="30">
        <f t="shared" si="11"/>
        <v>423075</v>
      </c>
      <c r="U73" s="30">
        <v>454936</v>
      </c>
      <c r="V73" s="30">
        <f t="shared" si="12"/>
        <v>-31861</v>
      </c>
    </row>
    <row r="74" spans="1:22" x14ac:dyDescent="0.25">
      <c r="A74" s="28" t="s">
        <v>6</v>
      </c>
      <c r="B74" s="29" t="s">
        <v>602</v>
      </c>
      <c r="C74" s="30">
        <v>1</v>
      </c>
      <c r="D74" s="30">
        <v>2</v>
      </c>
      <c r="E74" s="30">
        <v>0</v>
      </c>
      <c r="F74" s="30">
        <v>0</v>
      </c>
      <c r="G74" s="30">
        <v>17703.3</v>
      </c>
      <c r="H74" s="30">
        <f t="shared" si="8"/>
        <v>39989</v>
      </c>
      <c r="I74" s="30">
        <v>1</v>
      </c>
      <c r="J74" s="30">
        <v>2</v>
      </c>
      <c r="K74" s="30">
        <v>0</v>
      </c>
      <c r="L74" s="30">
        <v>0</v>
      </c>
      <c r="M74" s="30">
        <f t="shared" si="7"/>
        <v>39989</v>
      </c>
      <c r="N74" s="30">
        <f t="shared" si="9"/>
        <v>0</v>
      </c>
      <c r="O74" s="30"/>
      <c r="P74" s="30"/>
      <c r="Q74" s="30"/>
      <c r="R74" s="30"/>
      <c r="S74" s="30">
        <f t="shared" si="10"/>
        <v>0</v>
      </c>
      <c r="T74" s="30">
        <f t="shared" si="11"/>
        <v>39989</v>
      </c>
      <c r="U74" s="30">
        <v>80079</v>
      </c>
      <c r="V74" s="30">
        <f t="shared" si="12"/>
        <v>-40090</v>
      </c>
    </row>
    <row r="75" spans="1:22" x14ac:dyDescent="0.25">
      <c r="A75" s="28" t="s">
        <v>6</v>
      </c>
      <c r="B75" s="29" t="s">
        <v>603</v>
      </c>
      <c r="C75" s="30">
        <v>3</v>
      </c>
      <c r="D75" s="30">
        <v>1</v>
      </c>
      <c r="E75" s="30">
        <v>1</v>
      </c>
      <c r="F75" s="30">
        <v>0</v>
      </c>
      <c r="G75" s="30">
        <v>0</v>
      </c>
      <c r="H75" s="30">
        <f t="shared" si="8"/>
        <v>103479</v>
      </c>
      <c r="I75" s="30">
        <v>3</v>
      </c>
      <c r="J75" s="30">
        <v>1</v>
      </c>
      <c r="K75" s="30">
        <v>1</v>
      </c>
      <c r="L75" s="30">
        <v>0</v>
      </c>
      <c r="M75" s="30">
        <f t="shared" si="7"/>
        <v>103479</v>
      </c>
      <c r="N75" s="30">
        <f t="shared" si="9"/>
        <v>0</v>
      </c>
      <c r="O75" s="30"/>
      <c r="P75" s="30"/>
      <c r="Q75" s="30"/>
      <c r="R75" s="30"/>
      <c r="S75" s="30">
        <f t="shared" si="10"/>
        <v>0</v>
      </c>
      <c r="T75" s="30">
        <f t="shared" si="11"/>
        <v>103479</v>
      </c>
      <c r="U75" s="30">
        <v>93412</v>
      </c>
      <c r="V75" s="30">
        <f t="shared" si="12"/>
        <v>10067</v>
      </c>
    </row>
    <row r="76" spans="1:22" x14ac:dyDescent="0.25">
      <c r="A76" s="28" t="s">
        <v>6</v>
      </c>
      <c r="B76" s="29" t="s">
        <v>117</v>
      </c>
      <c r="C76" s="30">
        <v>3</v>
      </c>
      <c r="D76" s="30">
        <v>7</v>
      </c>
      <c r="E76" s="30">
        <v>6</v>
      </c>
      <c r="F76" s="30">
        <v>1</v>
      </c>
      <c r="G76" s="30">
        <v>7441.26</v>
      </c>
      <c r="H76" s="30">
        <f t="shared" si="8"/>
        <v>324975</v>
      </c>
      <c r="I76" s="30">
        <v>3</v>
      </c>
      <c r="J76" s="30">
        <v>7</v>
      </c>
      <c r="K76" s="30">
        <v>6</v>
      </c>
      <c r="L76" s="30">
        <v>1</v>
      </c>
      <c r="M76" s="30">
        <f t="shared" si="7"/>
        <v>324975</v>
      </c>
      <c r="N76" s="30">
        <f t="shared" si="9"/>
        <v>0</v>
      </c>
      <c r="O76" s="30"/>
      <c r="P76" s="30"/>
      <c r="Q76" s="30"/>
      <c r="R76" s="30"/>
      <c r="S76" s="30">
        <f t="shared" si="10"/>
        <v>0</v>
      </c>
      <c r="T76" s="30">
        <f t="shared" si="11"/>
        <v>324975</v>
      </c>
      <c r="U76" s="30">
        <v>317214</v>
      </c>
      <c r="V76" s="30">
        <f t="shared" si="12"/>
        <v>7761</v>
      </c>
    </row>
    <row r="77" spans="1:22" x14ac:dyDescent="0.25">
      <c r="A77" s="28" t="s">
        <v>6</v>
      </c>
      <c r="B77" s="29" t="s">
        <v>5</v>
      </c>
      <c r="C77" s="30">
        <v>7</v>
      </c>
      <c r="D77" s="30">
        <v>0</v>
      </c>
      <c r="E77" s="30">
        <v>0</v>
      </c>
      <c r="F77" s="30">
        <v>0</v>
      </c>
      <c r="G77" s="30">
        <v>0</v>
      </c>
      <c r="H77" s="30">
        <f t="shared" si="8"/>
        <v>147435</v>
      </c>
      <c r="I77" s="30">
        <v>7</v>
      </c>
      <c r="J77" s="30">
        <v>0</v>
      </c>
      <c r="K77" s="30">
        <v>0</v>
      </c>
      <c r="L77" s="30">
        <v>0</v>
      </c>
      <c r="M77" s="30">
        <f t="shared" si="7"/>
        <v>147435</v>
      </c>
      <c r="N77" s="30">
        <f t="shared" si="9"/>
        <v>0</v>
      </c>
      <c r="O77" s="30"/>
      <c r="P77" s="30"/>
      <c r="Q77" s="30"/>
      <c r="R77" s="30"/>
      <c r="S77" s="30">
        <f t="shared" si="10"/>
        <v>0</v>
      </c>
      <c r="T77" s="30">
        <f t="shared" si="11"/>
        <v>147435</v>
      </c>
      <c r="U77" s="30">
        <v>206585</v>
      </c>
      <c r="V77" s="30">
        <f t="shared" si="12"/>
        <v>-59150</v>
      </c>
    </row>
    <row r="78" spans="1:22" x14ac:dyDescent="0.25">
      <c r="A78" s="28" t="s">
        <v>1</v>
      </c>
      <c r="B78" s="29" t="s">
        <v>114</v>
      </c>
      <c r="C78" s="30">
        <v>0</v>
      </c>
      <c r="D78" s="30">
        <v>0</v>
      </c>
      <c r="E78" s="30">
        <v>1</v>
      </c>
      <c r="F78" s="30">
        <v>3</v>
      </c>
      <c r="G78" s="30">
        <v>9764.5499999999993</v>
      </c>
      <c r="H78" s="30">
        <f t="shared" si="8"/>
        <v>39686</v>
      </c>
      <c r="I78" s="30">
        <v>0</v>
      </c>
      <c r="J78" s="30">
        <v>0</v>
      </c>
      <c r="K78" s="30">
        <v>1</v>
      </c>
      <c r="L78" s="30">
        <v>3</v>
      </c>
      <c r="M78" s="30">
        <f t="shared" si="7"/>
        <v>39686</v>
      </c>
      <c r="N78" s="30">
        <f t="shared" si="9"/>
        <v>0</v>
      </c>
      <c r="O78" s="30"/>
      <c r="P78" s="30"/>
      <c r="Q78" s="30"/>
      <c r="R78" s="30"/>
      <c r="S78" s="30">
        <f t="shared" si="10"/>
        <v>0</v>
      </c>
      <c r="T78" s="30">
        <f t="shared" si="11"/>
        <v>39686</v>
      </c>
      <c r="U78" s="30">
        <v>42654</v>
      </c>
      <c r="V78" s="30">
        <f t="shared" si="12"/>
        <v>-2968</v>
      </c>
    </row>
    <row r="79" spans="1:22" x14ac:dyDescent="0.25">
      <c r="A79" s="28" t="s">
        <v>1</v>
      </c>
      <c r="B79" s="29" t="s">
        <v>102</v>
      </c>
      <c r="C79" s="30">
        <v>0</v>
      </c>
      <c r="D79" s="30">
        <v>1</v>
      </c>
      <c r="E79" s="30">
        <v>6</v>
      </c>
      <c r="F79" s="30">
        <v>0</v>
      </c>
      <c r="G79" s="30">
        <v>0</v>
      </c>
      <c r="H79" s="30">
        <f t="shared" si="8"/>
        <v>150182</v>
      </c>
      <c r="I79" s="30">
        <v>0</v>
      </c>
      <c r="J79" s="30">
        <v>1</v>
      </c>
      <c r="K79" s="30">
        <v>6</v>
      </c>
      <c r="L79" s="30">
        <v>0</v>
      </c>
      <c r="M79" s="30">
        <f t="shared" si="7"/>
        <v>150182</v>
      </c>
      <c r="N79" s="30">
        <f t="shared" si="9"/>
        <v>0</v>
      </c>
      <c r="O79" s="30"/>
      <c r="P79" s="30"/>
      <c r="Q79" s="30"/>
      <c r="R79" s="30"/>
      <c r="S79" s="30">
        <f t="shared" si="10"/>
        <v>0</v>
      </c>
      <c r="T79" s="30">
        <f t="shared" si="11"/>
        <v>150182</v>
      </c>
      <c r="U79" s="30">
        <v>129060</v>
      </c>
      <c r="V79" s="30">
        <f t="shared" si="12"/>
        <v>21122</v>
      </c>
    </row>
    <row r="80" spans="1:22" x14ac:dyDescent="0.25">
      <c r="A80" s="28" t="s">
        <v>1</v>
      </c>
      <c r="B80" s="29" t="s">
        <v>604</v>
      </c>
      <c r="C80" s="30">
        <v>0</v>
      </c>
      <c r="D80" s="30">
        <v>0</v>
      </c>
      <c r="E80" s="30">
        <v>4</v>
      </c>
      <c r="F80" s="30">
        <v>0</v>
      </c>
      <c r="G80" s="30">
        <v>0</v>
      </c>
      <c r="H80" s="30">
        <f t="shared" si="8"/>
        <v>87912</v>
      </c>
      <c r="I80" s="30">
        <v>0</v>
      </c>
      <c r="J80" s="30">
        <v>0</v>
      </c>
      <c r="K80" s="30">
        <v>4</v>
      </c>
      <c r="L80" s="30">
        <v>0</v>
      </c>
      <c r="M80" s="30">
        <f t="shared" si="7"/>
        <v>87912</v>
      </c>
      <c r="N80" s="30">
        <f t="shared" si="9"/>
        <v>0</v>
      </c>
      <c r="O80" s="30"/>
      <c r="P80" s="30"/>
      <c r="Q80" s="30"/>
      <c r="R80" s="30"/>
      <c r="S80" s="30">
        <f t="shared" si="10"/>
        <v>0</v>
      </c>
      <c r="T80" s="30">
        <f t="shared" si="11"/>
        <v>87912</v>
      </c>
      <c r="U80" s="30">
        <v>35305</v>
      </c>
      <c r="V80" s="30">
        <f t="shared" si="12"/>
        <v>52607</v>
      </c>
    </row>
    <row r="81" spans="1:22" x14ac:dyDescent="0.25">
      <c r="A81" s="28" t="s">
        <v>1</v>
      </c>
      <c r="B81" s="29" t="s">
        <v>92</v>
      </c>
      <c r="C81" s="30">
        <v>0</v>
      </c>
      <c r="D81" s="30">
        <v>3</v>
      </c>
      <c r="E81" s="30">
        <v>6</v>
      </c>
      <c r="F81" s="30">
        <v>0</v>
      </c>
      <c r="G81" s="30">
        <v>4558.72</v>
      </c>
      <c r="H81" s="30">
        <f t="shared" si="8"/>
        <v>182254</v>
      </c>
      <c r="I81" s="30">
        <v>0</v>
      </c>
      <c r="J81" s="30">
        <v>3</v>
      </c>
      <c r="K81" s="30">
        <v>6</v>
      </c>
      <c r="L81" s="30">
        <v>0</v>
      </c>
      <c r="M81" s="30">
        <f t="shared" si="7"/>
        <v>182254</v>
      </c>
      <c r="N81" s="30">
        <f t="shared" si="9"/>
        <v>0</v>
      </c>
      <c r="O81" s="30"/>
      <c r="P81" s="30"/>
      <c r="Q81" s="30"/>
      <c r="R81" s="30"/>
      <c r="S81" s="30">
        <f t="shared" si="10"/>
        <v>0</v>
      </c>
      <c r="T81" s="30">
        <f t="shared" si="11"/>
        <v>182254</v>
      </c>
      <c r="U81" s="30">
        <v>161778</v>
      </c>
      <c r="V81" s="30">
        <f t="shared" si="12"/>
        <v>20476</v>
      </c>
    </row>
    <row r="82" spans="1:22" x14ac:dyDescent="0.25">
      <c r="A82" s="28" t="s">
        <v>1</v>
      </c>
      <c r="B82" s="29" t="s">
        <v>0</v>
      </c>
      <c r="C82" s="30">
        <v>1</v>
      </c>
      <c r="D82" s="30">
        <v>5</v>
      </c>
      <c r="E82" s="30">
        <v>1</v>
      </c>
      <c r="F82" s="30">
        <v>0</v>
      </c>
      <c r="G82" s="30">
        <v>1518.62</v>
      </c>
      <c r="H82" s="30">
        <f t="shared" si="8"/>
        <v>133096</v>
      </c>
      <c r="I82" s="30">
        <v>1</v>
      </c>
      <c r="J82" s="30">
        <v>5</v>
      </c>
      <c r="K82" s="30">
        <v>1</v>
      </c>
      <c r="L82" s="30">
        <v>0</v>
      </c>
      <c r="M82" s="30">
        <f t="shared" si="7"/>
        <v>133096</v>
      </c>
      <c r="N82" s="30">
        <f t="shared" si="9"/>
        <v>0</v>
      </c>
      <c r="O82" s="30"/>
      <c r="P82" s="30"/>
      <c r="Q82" s="30"/>
      <c r="R82" s="30"/>
      <c r="S82" s="30">
        <f t="shared" si="10"/>
        <v>0</v>
      </c>
      <c r="T82" s="30">
        <f t="shared" si="11"/>
        <v>133096</v>
      </c>
      <c r="U82" s="30">
        <v>145972</v>
      </c>
      <c r="V82" s="30">
        <f t="shared" si="12"/>
        <v>-12876</v>
      </c>
    </row>
    <row r="83" spans="1:22" x14ac:dyDescent="0.25">
      <c r="A83" s="204" t="s">
        <v>512</v>
      </c>
      <c r="B83" s="204"/>
      <c r="C83" s="33">
        <f>SUM(C4:C82)</f>
        <v>217</v>
      </c>
      <c r="D83" s="33">
        <f t="shared" ref="D83:T83" si="13">SUM(D4:D82)</f>
        <v>147</v>
      </c>
      <c r="E83" s="33">
        <f t="shared" si="13"/>
        <v>523</v>
      </c>
      <c r="F83" s="33">
        <f t="shared" si="13"/>
        <v>81</v>
      </c>
      <c r="G83" s="33">
        <f t="shared" si="13"/>
        <v>392773.23</v>
      </c>
      <c r="H83" s="33">
        <f t="shared" si="13"/>
        <v>19175447</v>
      </c>
      <c r="I83" s="33">
        <f t="shared" si="13"/>
        <v>217</v>
      </c>
      <c r="J83" s="33">
        <f t="shared" si="13"/>
        <v>147</v>
      </c>
      <c r="K83" s="33">
        <f t="shared" si="13"/>
        <v>523</v>
      </c>
      <c r="L83" s="33">
        <f t="shared" si="13"/>
        <v>81</v>
      </c>
      <c r="M83" s="33">
        <f t="shared" si="13"/>
        <v>19175447</v>
      </c>
      <c r="N83" s="33">
        <f t="shared" si="13"/>
        <v>0</v>
      </c>
      <c r="O83" s="33">
        <f t="shared" si="13"/>
        <v>0</v>
      </c>
      <c r="P83" s="33">
        <f t="shared" si="13"/>
        <v>0</v>
      </c>
      <c r="Q83" s="33">
        <f t="shared" si="13"/>
        <v>0</v>
      </c>
      <c r="R83" s="33">
        <f t="shared" si="13"/>
        <v>0</v>
      </c>
      <c r="S83" s="33">
        <f t="shared" si="13"/>
        <v>0</v>
      </c>
      <c r="T83" s="33">
        <f t="shared" si="13"/>
        <v>19175447</v>
      </c>
      <c r="U83" s="33">
        <f t="shared" ref="U83:V83" si="14">SUM(U4:U82)</f>
        <v>19006052</v>
      </c>
      <c r="V83" s="33">
        <f t="shared" si="14"/>
        <v>169395</v>
      </c>
    </row>
    <row r="84" spans="1:22" x14ac:dyDescent="0.25">
      <c r="N84" s="34"/>
      <c r="O84" s="34"/>
      <c r="P84" s="34"/>
      <c r="Q84" s="34"/>
      <c r="R84" s="34"/>
      <c r="S84" s="88" t="s">
        <v>775</v>
      </c>
      <c r="T84" s="36">
        <f>KOOND!R86</f>
        <v>21306052</v>
      </c>
    </row>
    <row r="85" spans="1:22" x14ac:dyDescent="0.25">
      <c r="H85" s="34">
        <f>T84*0.9-H83</f>
        <v>-0.19999999925494194</v>
      </c>
      <c r="I85" s="34"/>
      <c r="J85" s="34"/>
      <c r="K85" s="34"/>
      <c r="L85" s="34"/>
      <c r="M85" s="34">
        <f>T84*0.9-M83</f>
        <v>-0.19999999925494194</v>
      </c>
      <c r="S85" s="35" t="s">
        <v>531</v>
      </c>
      <c r="T85" s="34">
        <f>T84-T83</f>
        <v>2130605</v>
      </c>
    </row>
    <row r="87" spans="1:22" x14ac:dyDescent="0.25">
      <c r="R87" s="144" t="s">
        <v>789</v>
      </c>
      <c r="S87" s="144" t="s">
        <v>790</v>
      </c>
    </row>
    <row r="88" spans="1:22" x14ac:dyDescent="0.25">
      <c r="F88" s="37"/>
      <c r="G88" s="37"/>
      <c r="O88" s="38"/>
      <c r="P88" s="38"/>
      <c r="Q88" s="38" t="s">
        <v>727</v>
      </c>
      <c r="R88" s="85">
        <v>9157.4655000000002</v>
      </c>
      <c r="S88" s="85">
        <f>R88</f>
        <v>9157.4655000000002</v>
      </c>
      <c r="T88" s="127"/>
    </row>
    <row r="89" spans="1:22" x14ac:dyDescent="0.25">
      <c r="H89" s="39"/>
      <c r="J89" s="39"/>
      <c r="K89" s="39"/>
      <c r="L89" s="39"/>
      <c r="M89" s="39"/>
      <c r="N89" s="39"/>
      <c r="O89" s="39"/>
      <c r="P89" s="39"/>
      <c r="Q89" s="38" t="s">
        <v>724</v>
      </c>
      <c r="R89" s="85">
        <f>R88*C3</f>
        <v>21062.17065</v>
      </c>
      <c r="S89" s="85">
        <f>O3*S88</f>
        <v>21062.17065</v>
      </c>
    </row>
    <row r="90" spans="1:22" x14ac:dyDescent="0.25">
      <c r="Q90" s="38" t="s">
        <v>725</v>
      </c>
      <c r="R90" s="85">
        <f>R88*D3</f>
        <v>18314.931</v>
      </c>
      <c r="S90" s="85">
        <f>P3*S88</f>
        <v>18314.931</v>
      </c>
    </row>
    <row r="91" spans="1:22" x14ac:dyDescent="0.25">
      <c r="Q91" s="38" t="s">
        <v>726</v>
      </c>
      <c r="R91" s="85">
        <f>R88*E3</f>
        <v>21977.9172</v>
      </c>
      <c r="S91" s="85">
        <f>S88*Q3</f>
        <v>21977.9172</v>
      </c>
    </row>
    <row r="92" spans="1:22" x14ac:dyDescent="0.25">
      <c r="B92" s="89" t="s">
        <v>690</v>
      </c>
      <c r="C92" s="89" t="s">
        <v>527</v>
      </c>
      <c r="D92" s="89" t="s">
        <v>528</v>
      </c>
      <c r="E92" s="89" t="s">
        <v>529</v>
      </c>
      <c r="F92" s="89" t="s">
        <v>530</v>
      </c>
      <c r="G92" s="89" t="s">
        <v>512</v>
      </c>
    </row>
    <row r="93" spans="1:22" x14ac:dyDescent="0.25">
      <c r="B93" s="90">
        <v>43070</v>
      </c>
      <c r="C93" s="30">
        <v>964</v>
      </c>
      <c r="D93" s="30">
        <v>167</v>
      </c>
      <c r="E93" s="30">
        <v>0</v>
      </c>
      <c r="F93" s="30">
        <v>0</v>
      </c>
      <c r="G93" s="30">
        <f t="shared" ref="G93:G98" si="15">SUM(C93:F93)</f>
        <v>1131</v>
      </c>
    </row>
    <row r="94" spans="1:22" x14ac:dyDescent="0.25">
      <c r="B94" s="90">
        <v>43252</v>
      </c>
      <c r="C94" s="30">
        <v>743</v>
      </c>
      <c r="D94" s="30">
        <v>147</v>
      </c>
      <c r="E94" s="30">
        <v>184</v>
      </c>
      <c r="F94" s="30">
        <v>18</v>
      </c>
      <c r="G94" s="30">
        <f t="shared" si="15"/>
        <v>1092</v>
      </c>
    </row>
    <row r="95" spans="1:22" x14ac:dyDescent="0.25">
      <c r="B95" s="90">
        <v>43435</v>
      </c>
      <c r="C95" s="30">
        <v>615</v>
      </c>
      <c r="D95" s="30">
        <v>138</v>
      </c>
      <c r="E95" s="30">
        <v>277</v>
      </c>
      <c r="F95" s="30">
        <v>39</v>
      </c>
      <c r="G95" s="30">
        <f t="shared" si="15"/>
        <v>1069</v>
      </c>
    </row>
    <row r="96" spans="1:22" x14ac:dyDescent="0.25">
      <c r="B96" s="90">
        <v>43617</v>
      </c>
      <c r="C96" s="30">
        <v>410</v>
      </c>
      <c r="D96" s="30">
        <v>129</v>
      </c>
      <c r="E96" s="30">
        <v>429</v>
      </c>
      <c r="F96" s="30">
        <v>68</v>
      </c>
      <c r="G96" s="30">
        <f t="shared" si="15"/>
        <v>1036</v>
      </c>
    </row>
    <row r="97" spans="2:7" x14ac:dyDescent="0.25">
      <c r="B97" s="90">
        <v>43800</v>
      </c>
      <c r="C97" s="30">
        <v>334</v>
      </c>
      <c r="D97" s="30">
        <v>135</v>
      </c>
      <c r="E97" s="30">
        <v>470</v>
      </c>
      <c r="F97" s="30">
        <v>80</v>
      </c>
      <c r="G97" s="30">
        <f t="shared" si="15"/>
        <v>1019</v>
      </c>
    </row>
    <row r="98" spans="2:7" x14ac:dyDescent="0.25">
      <c r="B98" s="90">
        <v>43983</v>
      </c>
      <c r="C98" s="30">
        <v>287</v>
      </c>
      <c r="D98" s="30">
        <v>133</v>
      </c>
      <c r="E98" s="30">
        <v>517</v>
      </c>
      <c r="F98" s="30">
        <v>81</v>
      </c>
      <c r="G98" s="30">
        <f t="shared" si="15"/>
        <v>1018</v>
      </c>
    </row>
    <row r="99" spans="2:7" x14ac:dyDescent="0.25">
      <c r="B99" s="90">
        <v>44166</v>
      </c>
      <c r="C99" s="30">
        <v>267</v>
      </c>
      <c r="D99" s="30">
        <v>142</v>
      </c>
      <c r="E99" s="30">
        <v>526</v>
      </c>
      <c r="F99" s="30">
        <v>94</v>
      </c>
      <c r="G99" s="126">
        <f t="shared" ref="G99:G102" si="16">SUM(C99:F99)</f>
        <v>1029</v>
      </c>
    </row>
    <row r="100" spans="2:7" x14ac:dyDescent="0.25">
      <c r="B100" s="90">
        <v>44348</v>
      </c>
      <c r="C100" s="30">
        <v>265</v>
      </c>
      <c r="D100" s="30">
        <v>155</v>
      </c>
      <c r="E100" s="30">
        <v>532</v>
      </c>
      <c r="F100" s="30">
        <v>94</v>
      </c>
      <c r="G100" s="126">
        <f t="shared" si="16"/>
        <v>1046</v>
      </c>
    </row>
    <row r="101" spans="2:7" x14ac:dyDescent="0.25">
      <c r="B101" s="90">
        <v>44531</v>
      </c>
      <c r="C101" s="30">
        <v>245</v>
      </c>
      <c r="D101" s="30">
        <v>148</v>
      </c>
      <c r="E101" s="30">
        <v>525</v>
      </c>
      <c r="F101" s="30">
        <v>86</v>
      </c>
      <c r="G101" s="126">
        <f t="shared" si="16"/>
        <v>1004</v>
      </c>
    </row>
    <row r="102" spans="2:7" x14ac:dyDescent="0.25">
      <c r="B102" s="134">
        <v>44713</v>
      </c>
      <c r="C102" s="30">
        <v>238</v>
      </c>
      <c r="D102" s="30">
        <v>149</v>
      </c>
      <c r="E102" s="30">
        <v>526</v>
      </c>
      <c r="F102" s="30">
        <v>87</v>
      </c>
      <c r="G102" s="126">
        <f t="shared" si="16"/>
        <v>1000</v>
      </c>
    </row>
    <row r="103" spans="2:7" x14ac:dyDescent="0.25">
      <c r="B103" s="143">
        <v>44896</v>
      </c>
      <c r="C103" s="126">
        <f>C83</f>
        <v>217</v>
      </c>
      <c r="D103" s="126">
        <f t="shared" ref="D103:F103" si="17">D83</f>
        <v>147</v>
      </c>
      <c r="E103" s="126">
        <f t="shared" si="17"/>
        <v>523</v>
      </c>
      <c r="F103" s="126">
        <f t="shared" si="17"/>
        <v>81</v>
      </c>
      <c r="G103" s="126">
        <f t="shared" ref="G103" si="18">SUM(C103:F103)</f>
        <v>968</v>
      </c>
    </row>
    <row r="104" spans="2:7" x14ac:dyDescent="0.25">
      <c r="B104" s="91" t="s">
        <v>534</v>
      </c>
      <c r="C104" s="126">
        <f>C103-C102</f>
        <v>-21</v>
      </c>
      <c r="D104" s="126">
        <f t="shared" ref="D104:G104" si="19">D103-D102</f>
        <v>-2</v>
      </c>
      <c r="E104" s="126">
        <f t="shared" si="19"/>
        <v>-3</v>
      </c>
      <c r="F104" s="126">
        <f t="shared" si="19"/>
        <v>-6</v>
      </c>
      <c r="G104" s="126">
        <f t="shared" si="19"/>
        <v>-32</v>
      </c>
    </row>
  </sheetData>
  <mergeCells count="14">
    <mergeCell ref="U1:U3"/>
    <mergeCell ref="V1:V3"/>
    <mergeCell ref="A83:B83"/>
    <mergeCell ref="S1:S3"/>
    <mergeCell ref="T1:T3"/>
    <mergeCell ref="A1:A3"/>
    <mergeCell ref="B1:B3"/>
    <mergeCell ref="C1:F1"/>
    <mergeCell ref="H1:H3"/>
    <mergeCell ref="O1:R1"/>
    <mergeCell ref="G1:G3"/>
    <mergeCell ref="I1:L1"/>
    <mergeCell ref="M1:M3"/>
    <mergeCell ref="N1:N3"/>
  </mergeCells>
  <conditionalFormatting sqref="S4:S82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95"/>
  <sheetViews>
    <sheetView workbookViewId="0">
      <pane xSplit="2" ySplit="3" topLeftCell="C55" activePane="bottomRight" state="frozen"/>
      <selection pane="topRight" activeCell="D1" sqref="D1"/>
      <selection pane="bottomLeft" activeCell="A4" sqref="A4"/>
      <selection pane="bottomRight" activeCell="P88" sqref="P88"/>
    </sheetView>
  </sheetViews>
  <sheetFormatPr defaultRowHeight="13.2" x14ac:dyDescent="0.25"/>
  <cols>
    <col min="1" max="1" width="9.5546875" bestFit="1" customWidth="1"/>
    <col min="2" max="2" width="19.44140625" bestFit="1" customWidth="1"/>
    <col min="3" max="3" width="11.109375" customWidth="1"/>
    <col min="4" max="4" width="10" customWidth="1"/>
    <col min="5" max="6" width="9.109375" bestFit="1" customWidth="1"/>
    <col min="7" max="8" width="9.109375" customWidth="1"/>
    <col min="9" max="11" width="7.5546875" bestFit="1" customWidth="1"/>
    <col min="12" max="13" width="8.109375" customWidth="1"/>
    <col min="14" max="14" width="10.5546875" customWidth="1"/>
    <col min="16" max="16" width="7.44140625" bestFit="1" customWidth="1"/>
  </cols>
  <sheetData>
    <row r="1" spans="1:19" ht="12.75" customHeight="1" x14ac:dyDescent="0.25">
      <c r="A1" s="186" t="s">
        <v>511</v>
      </c>
      <c r="B1" s="186" t="s">
        <v>510</v>
      </c>
      <c r="C1" s="242" t="s">
        <v>791</v>
      </c>
      <c r="D1" s="242"/>
      <c r="E1" s="176" t="s">
        <v>533</v>
      </c>
      <c r="F1" s="189"/>
      <c r="G1" s="189"/>
      <c r="H1" s="189"/>
      <c r="I1" s="176" t="s">
        <v>729</v>
      </c>
      <c r="J1" s="189"/>
      <c r="K1" s="189"/>
      <c r="L1" s="197"/>
      <c r="M1" s="197"/>
      <c r="N1" s="237" t="s">
        <v>792</v>
      </c>
      <c r="O1" s="176" t="s">
        <v>755</v>
      </c>
      <c r="P1" s="176" t="s">
        <v>534</v>
      </c>
      <c r="S1" s="8"/>
    </row>
    <row r="2" spans="1:19" x14ac:dyDescent="0.25">
      <c r="A2" s="186"/>
      <c r="B2" s="186"/>
      <c r="C2" s="240" t="s">
        <v>532</v>
      </c>
      <c r="D2" s="240" t="s">
        <v>670</v>
      </c>
      <c r="E2" s="189"/>
      <c r="F2" s="189"/>
      <c r="G2" s="189"/>
      <c r="H2" s="189"/>
      <c r="I2" s="197"/>
      <c r="J2" s="197"/>
      <c r="K2" s="197"/>
      <c r="L2" s="197"/>
      <c r="M2" s="197"/>
      <c r="N2" s="238"/>
      <c r="O2" s="176"/>
      <c r="P2" s="176"/>
    </row>
    <row r="3" spans="1:19" x14ac:dyDescent="0.25">
      <c r="A3" s="186"/>
      <c r="B3" s="186"/>
      <c r="C3" s="176"/>
      <c r="D3" s="176"/>
      <c r="E3" s="136">
        <v>2019</v>
      </c>
      <c r="F3" s="136">
        <v>2020</v>
      </c>
      <c r="G3" s="136">
        <v>2021</v>
      </c>
      <c r="H3" s="145">
        <v>2022</v>
      </c>
      <c r="I3" s="145">
        <v>2018</v>
      </c>
      <c r="J3" s="145">
        <v>2019</v>
      </c>
      <c r="K3" s="145">
        <v>2020</v>
      </c>
      <c r="L3" s="145">
        <v>2021</v>
      </c>
      <c r="M3" s="145">
        <v>2022</v>
      </c>
      <c r="N3" s="239"/>
      <c r="O3" s="176"/>
      <c r="P3" s="176"/>
    </row>
    <row r="4" spans="1:19" x14ac:dyDescent="0.25">
      <c r="A4" s="28" t="s">
        <v>69</v>
      </c>
      <c r="B4" s="29" t="s">
        <v>490</v>
      </c>
      <c r="C4" s="19">
        <f>Tasandusfond!L4</f>
        <v>3686</v>
      </c>
      <c r="D4" s="19">
        <f>Tasandusfond!M4</f>
        <v>1367</v>
      </c>
      <c r="E4" s="19">
        <v>21500</v>
      </c>
      <c r="F4" s="19">
        <v>21500</v>
      </c>
      <c r="G4" s="19">
        <v>18750</v>
      </c>
      <c r="H4" s="19">
        <v>24750</v>
      </c>
      <c r="I4" s="19">
        <v>785</v>
      </c>
      <c r="J4" s="19">
        <v>0</v>
      </c>
      <c r="K4" s="19">
        <v>0</v>
      </c>
      <c r="L4" s="19">
        <v>3681</v>
      </c>
      <c r="M4" s="19">
        <f>IF(L4+O4&lt;H4,0,L4+O4-H4)</f>
        <v>0</v>
      </c>
      <c r="N4" s="19">
        <f>IF(N$88*(C$84*C4/C$83+D$84*D4/D$83)&lt;M4,0,ROUND(N$88*(C$84*C4/C$83+D$84*D4/D$83)-M4,0))</f>
        <v>22022</v>
      </c>
      <c r="O4" s="19">
        <v>18083</v>
      </c>
      <c r="P4" s="19">
        <f>N4-O4</f>
        <v>3939</v>
      </c>
    </row>
    <row r="5" spans="1:19" x14ac:dyDescent="0.25">
      <c r="A5" s="28" t="s">
        <v>69</v>
      </c>
      <c r="B5" s="29" t="s">
        <v>488</v>
      </c>
      <c r="C5" s="19">
        <f>Tasandusfond!L5</f>
        <v>10384</v>
      </c>
      <c r="D5" s="19">
        <f>Tasandusfond!M5</f>
        <v>2053</v>
      </c>
      <c r="E5" s="19">
        <v>25200</v>
      </c>
      <c r="F5" s="19">
        <v>30100</v>
      </c>
      <c r="G5" s="19">
        <v>33950</v>
      </c>
      <c r="H5" s="19">
        <v>31150</v>
      </c>
      <c r="I5" s="19">
        <v>0</v>
      </c>
      <c r="J5" s="19">
        <v>6981</v>
      </c>
      <c r="K5" s="19">
        <v>2883</v>
      </c>
      <c r="L5" s="19">
        <v>2730</v>
      </c>
      <c r="M5" s="19">
        <f t="shared" ref="M5:M68" si="0">IF(L5+O5&lt;H5,0,L5+O5-H5)</f>
        <v>6048</v>
      </c>
      <c r="N5" s="19">
        <f t="shared" ref="N5:N68" si="1">IF(N$88*(C$84*C5/C$83+D$84*D5/D$83)&lt;M5,0,ROUND(N$88*(C$84*C5/C$83+D$84*D5/D$83)-M5,0))</f>
        <v>32712</v>
      </c>
      <c r="O5" s="19">
        <v>34468</v>
      </c>
      <c r="P5" s="19">
        <f t="shared" ref="P5:P68" si="2">N5-O5</f>
        <v>-1756</v>
      </c>
    </row>
    <row r="6" spans="1:19" x14ac:dyDescent="0.25">
      <c r="A6" s="28" t="s">
        <v>69</v>
      </c>
      <c r="B6" s="29" t="s">
        <v>486</v>
      </c>
      <c r="C6" s="19">
        <f>Tasandusfond!L6</f>
        <v>4325</v>
      </c>
      <c r="D6" s="19">
        <f>Tasandusfond!M6</f>
        <v>1116</v>
      </c>
      <c r="E6" s="19">
        <v>17600</v>
      </c>
      <c r="F6" s="19">
        <v>4160</v>
      </c>
      <c r="G6" s="19">
        <v>22400</v>
      </c>
      <c r="H6" s="19">
        <v>16000</v>
      </c>
      <c r="I6" s="19">
        <v>275</v>
      </c>
      <c r="J6" s="19">
        <v>0</v>
      </c>
      <c r="K6" s="19">
        <v>13012</v>
      </c>
      <c r="L6" s="19">
        <v>0</v>
      </c>
      <c r="M6" s="19">
        <f t="shared" si="0"/>
        <v>3067</v>
      </c>
      <c r="N6" s="19">
        <f t="shared" si="1"/>
        <v>16455</v>
      </c>
      <c r="O6" s="19">
        <v>19067</v>
      </c>
      <c r="P6" s="19">
        <f t="shared" si="2"/>
        <v>-2612</v>
      </c>
    </row>
    <row r="7" spans="1:19" x14ac:dyDescent="0.25">
      <c r="A7" s="28" t="s">
        <v>69</v>
      </c>
      <c r="B7" s="29" t="s">
        <v>81</v>
      </c>
      <c r="C7" s="19">
        <f>Tasandusfond!L7</f>
        <v>5916</v>
      </c>
      <c r="D7" s="19">
        <f>Tasandusfond!M7</f>
        <v>1741</v>
      </c>
      <c r="E7" s="19">
        <v>16330</v>
      </c>
      <c r="F7" s="19">
        <v>23780</v>
      </c>
      <c r="G7" s="19">
        <v>27570</v>
      </c>
      <c r="H7" s="19">
        <v>24989</v>
      </c>
      <c r="I7" s="19">
        <v>6335.0999999999985</v>
      </c>
      <c r="J7" s="19">
        <v>11709.099999999999</v>
      </c>
      <c r="K7" s="19">
        <v>4238.0999999999985</v>
      </c>
      <c r="L7" s="19">
        <v>2941.0999999999985</v>
      </c>
      <c r="M7" s="19">
        <f t="shared" si="0"/>
        <v>4215.0999999999985</v>
      </c>
      <c r="N7" s="19">
        <f t="shared" si="1"/>
        <v>25265</v>
      </c>
      <c r="O7" s="19">
        <v>26263</v>
      </c>
      <c r="P7" s="19">
        <f t="shared" si="2"/>
        <v>-998</v>
      </c>
    </row>
    <row r="8" spans="1:19" x14ac:dyDescent="0.25">
      <c r="A8" s="28" t="s">
        <v>69</v>
      </c>
      <c r="B8" s="29" t="s">
        <v>480</v>
      </c>
      <c r="C8" s="19">
        <f>Tasandusfond!L8</f>
        <v>3776</v>
      </c>
      <c r="D8" s="19">
        <f>Tasandusfond!M8</f>
        <v>649</v>
      </c>
      <c r="E8" s="19">
        <v>5500</v>
      </c>
      <c r="F8" s="19">
        <v>5500</v>
      </c>
      <c r="G8" s="19">
        <v>9000</v>
      </c>
      <c r="H8" s="19">
        <v>6250</v>
      </c>
      <c r="I8" s="19">
        <v>4741</v>
      </c>
      <c r="J8" s="19">
        <v>5248</v>
      </c>
      <c r="K8" s="19">
        <v>5750</v>
      </c>
      <c r="L8" s="19">
        <v>3614</v>
      </c>
      <c r="M8" s="19">
        <f t="shared" si="0"/>
        <v>6090</v>
      </c>
      <c r="N8" s="19">
        <f t="shared" si="1"/>
        <v>6741</v>
      </c>
      <c r="O8" s="19">
        <v>8726</v>
      </c>
      <c r="P8" s="19">
        <f t="shared" si="2"/>
        <v>-1985</v>
      </c>
    </row>
    <row r="9" spans="1:19" x14ac:dyDescent="0.25">
      <c r="A9" s="28" t="s">
        <v>69</v>
      </c>
      <c r="B9" s="31" t="s">
        <v>478</v>
      </c>
      <c r="C9" s="19">
        <f>Tasandusfond!L9</f>
        <v>4469</v>
      </c>
      <c r="D9" s="19">
        <f>Tasandusfond!M9</f>
        <v>1271</v>
      </c>
      <c r="E9" s="19">
        <v>18250</v>
      </c>
      <c r="F9" s="19">
        <v>18750</v>
      </c>
      <c r="G9" s="19">
        <v>25250</v>
      </c>
      <c r="H9" s="19">
        <v>20500</v>
      </c>
      <c r="I9" s="19">
        <v>0</v>
      </c>
      <c r="J9" s="19">
        <v>3117</v>
      </c>
      <c r="K9" s="19">
        <v>2338</v>
      </c>
      <c r="L9" s="19">
        <v>0</v>
      </c>
      <c r="M9" s="19">
        <f t="shared" si="0"/>
        <v>1001</v>
      </c>
      <c r="N9" s="19">
        <f t="shared" si="1"/>
        <v>20697</v>
      </c>
      <c r="O9" s="19">
        <v>21501</v>
      </c>
      <c r="P9" s="19">
        <f t="shared" si="2"/>
        <v>-804</v>
      </c>
    </row>
    <row r="10" spans="1:19" x14ac:dyDescent="0.25">
      <c r="A10" s="28" t="s">
        <v>69</v>
      </c>
      <c r="B10" s="29" t="s">
        <v>476</v>
      </c>
      <c r="C10" s="19">
        <f>Tasandusfond!L10</f>
        <v>3737</v>
      </c>
      <c r="D10" s="19">
        <f>Tasandusfond!M10</f>
        <v>1376</v>
      </c>
      <c r="E10" s="19">
        <v>22133</v>
      </c>
      <c r="F10" s="19">
        <v>24053</v>
      </c>
      <c r="G10" s="19">
        <v>24800</v>
      </c>
      <c r="H10" s="19">
        <v>28000</v>
      </c>
      <c r="I10" s="19">
        <v>0</v>
      </c>
      <c r="J10" s="19">
        <v>0</v>
      </c>
      <c r="K10" s="19">
        <v>0</v>
      </c>
      <c r="L10" s="19">
        <v>0</v>
      </c>
      <c r="M10" s="19">
        <f t="shared" si="0"/>
        <v>0</v>
      </c>
      <c r="N10" s="19">
        <f t="shared" si="1"/>
        <v>22199</v>
      </c>
      <c r="O10" s="19">
        <v>21804</v>
      </c>
      <c r="P10" s="19">
        <f t="shared" si="2"/>
        <v>395</v>
      </c>
    </row>
    <row r="11" spans="1:19" x14ac:dyDescent="0.25">
      <c r="A11" s="28" t="s">
        <v>69</v>
      </c>
      <c r="B11" s="29" t="s">
        <v>83</v>
      </c>
      <c r="C11" s="19">
        <f>Tasandusfond!L11</f>
        <v>1392</v>
      </c>
      <c r="D11" s="19">
        <f>Tasandusfond!M11</f>
        <v>770</v>
      </c>
      <c r="E11" s="19">
        <v>9000</v>
      </c>
      <c r="F11" s="19">
        <v>10500</v>
      </c>
      <c r="G11" s="19">
        <v>12250</v>
      </c>
      <c r="H11" s="19">
        <v>10500</v>
      </c>
      <c r="I11" s="19">
        <v>0</v>
      </c>
      <c r="J11" s="19">
        <v>2065</v>
      </c>
      <c r="K11" s="19">
        <v>639</v>
      </c>
      <c r="L11" s="19">
        <v>0</v>
      </c>
      <c r="M11" s="19">
        <f t="shared" si="0"/>
        <v>1055</v>
      </c>
      <c r="N11" s="19">
        <f t="shared" si="1"/>
        <v>10547</v>
      </c>
      <c r="O11" s="19">
        <v>11555</v>
      </c>
      <c r="P11" s="19">
        <f t="shared" si="2"/>
        <v>-1008</v>
      </c>
    </row>
    <row r="12" spans="1:19" x14ac:dyDescent="0.25">
      <c r="A12" s="28" t="s">
        <v>69</v>
      </c>
      <c r="B12" s="29" t="s">
        <v>605</v>
      </c>
      <c r="C12" s="19">
        <f>Tasandusfond!L12</f>
        <v>8100</v>
      </c>
      <c r="D12" s="19">
        <f>Tasandusfond!M12</f>
        <v>2706</v>
      </c>
      <c r="E12" s="19">
        <v>38575</v>
      </c>
      <c r="F12" s="19">
        <v>35657.4</v>
      </c>
      <c r="G12" s="19">
        <v>42291</v>
      </c>
      <c r="H12" s="19">
        <v>44793</v>
      </c>
      <c r="I12" s="19">
        <v>1995</v>
      </c>
      <c r="J12" s="19">
        <v>2423</v>
      </c>
      <c r="K12" s="19">
        <v>5117.5999999999985</v>
      </c>
      <c r="L12" s="19">
        <v>2294.5999999999985</v>
      </c>
      <c r="M12" s="19">
        <f t="shared" si="0"/>
        <v>0</v>
      </c>
      <c r="N12" s="19">
        <f t="shared" si="1"/>
        <v>44536</v>
      </c>
      <c r="O12" s="19">
        <v>41421</v>
      </c>
      <c r="P12" s="19">
        <f t="shared" si="2"/>
        <v>3115</v>
      </c>
    </row>
    <row r="13" spans="1:19" x14ac:dyDescent="0.25">
      <c r="A13" s="28" t="s">
        <v>69</v>
      </c>
      <c r="B13" s="29" t="s">
        <v>68</v>
      </c>
      <c r="C13" s="19">
        <f>Tasandusfond!L13</f>
        <v>9632</v>
      </c>
      <c r="D13" s="19">
        <f>Tasandusfond!M13</f>
        <v>3405</v>
      </c>
      <c r="E13" s="19">
        <v>40250</v>
      </c>
      <c r="F13" s="19">
        <v>46750</v>
      </c>
      <c r="G13" s="19">
        <v>56000</v>
      </c>
      <c r="H13" s="19">
        <v>57750</v>
      </c>
      <c r="I13" s="19">
        <v>4934</v>
      </c>
      <c r="J13" s="19">
        <v>9931</v>
      </c>
      <c r="K13" s="19">
        <v>3825</v>
      </c>
      <c r="L13" s="19">
        <v>0</v>
      </c>
      <c r="M13" s="19">
        <f t="shared" si="0"/>
        <v>0</v>
      </c>
      <c r="N13" s="19">
        <f t="shared" si="1"/>
        <v>55383</v>
      </c>
      <c r="O13" s="19">
        <v>53725</v>
      </c>
      <c r="P13" s="19">
        <f t="shared" si="2"/>
        <v>1658</v>
      </c>
    </row>
    <row r="14" spans="1:19" x14ac:dyDescent="0.25">
      <c r="A14" s="28" t="s">
        <v>69</v>
      </c>
      <c r="B14" s="29" t="s">
        <v>470</v>
      </c>
      <c r="C14" s="19">
        <f>Tasandusfond!L14</f>
        <v>3047</v>
      </c>
      <c r="D14" s="19">
        <f>Tasandusfond!M14</f>
        <v>849</v>
      </c>
      <c r="E14" s="19">
        <v>16136.6</v>
      </c>
      <c r="F14" s="19">
        <v>9839</v>
      </c>
      <c r="G14" s="19">
        <v>12250</v>
      </c>
      <c r="H14" s="19">
        <v>12750</v>
      </c>
      <c r="I14" s="19">
        <v>214.64999999999964</v>
      </c>
      <c r="J14" s="19">
        <v>0</v>
      </c>
      <c r="K14" s="19">
        <v>3965</v>
      </c>
      <c r="L14" s="19">
        <v>2800</v>
      </c>
      <c r="M14" s="19">
        <f t="shared" si="0"/>
        <v>1788</v>
      </c>
      <c r="N14" s="19">
        <f t="shared" si="1"/>
        <v>12778</v>
      </c>
      <c r="O14" s="19">
        <v>11738</v>
      </c>
      <c r="P14" s="19">
        <f t="shared" si="2"/>
        <v>1040</v>
      </c>
    </row>
    <row r="15" spans="1:19" x14ac:dyDescent="0.25">
      <c r="A15" s="28" t="s">
        <v>69</v>
      </c>
      <c r="B15" s="29" t="s">
        <v>468</v>
      </c>
      <c r="C15" s="19">
        <f>Tasandusfond!L15</f>
        <v>13281</v>
      </c>
      <c r="D15" s="19">
        <f>Tasandusfond!M15</f>
        <v>1839</v>
      </c>
      <c r="E15" s="19">
        <v>22800</v>
      </c>
      <c r="F15" s="19">
        <v>24300</v>
      </c>
      <c r="G15" s="19">
        <v>21000</v>
      </c>
      <c r="H15" s="19">
        <v>25200</v>
      </c>
      <c r="I15" s="19">
        <v>4920</v>
      </c>
      <c r="J15" s="19">
        <v>9729</v>
      </c>
      <c r="K15" s="19">
        <v>9662</v>
      </c>
      <c r="L15" s="19">
        <v>17199</v>
      </c>
      <c r="M15" s="19">
        <f t="shared" si="0"/>
        <v>12827</v>
      </c>
      <c r="N15" s="19">
        <f t="shared" si="1"/>
        <v>26560</v>
      </c>
      <c r="O15" s="19">
        <v>20828</v>
      </c>
      <c r="P15" s="19">
        <f t="shared" si="2"/>
        <v>5732</v>
      </c>
    </row>
    <row r="16" spans="1:19" x14ac:dyDescent="0.25">
      <c r="A16" s="28" t="s">
        <v>69</v>
      </c>
      <c r="B16" s="29" t="s">
        <v>466</v>
      </c>
      <c r="C16" s="19">
        <f>Tasandusfond!L16</f>
        <v>6735</v>
      </c>
      <c r="D16" s="19">
        <f>Tasandusfond!M16</f>
        <v>1561</v>
      </c>
      <c r="E16" s="19">
        <v>17250</v>
      </c>
      <c r="F16" s="19">
        <v>19250</v>
      </c>
      <c r="G16" s="19">
        <v>18250</v>
      </c>
      <c r="H16" s="19">
        <v>14500</v>
      </c>
      <c r="I16" s="19">
        <v>5892</v>
      </c>
      <c r="J16" s="19">
        <v>7261</v>
      </c>
      <c r="K16" s="19">
        <v>5733</v>
      </c>
      <c r="L16" s="19">
        <v>9270</v>
      </c>
      <c r="M16" s="19">
        <f t="shared" si="0"/>
        <v>12712</v>
      </c>
      <c r="N16" s="19">
        <f t="shared" si="1"/>
        <v>15398</v>
      </c>
      <c r="O16" s="19">
        <v>17942</v>
      </c>
      <c r="P16" s="19">
        <f t="shared" si="2"/>
        <v>-2544</v>
      </c>
    </row>
    <row r="17" spans="1:17" x14ac:dyDescent="0.25">
      <c r="A17" s="28" t="s">
        <v>69</v>
      </c>
      <c r="B17" s="29" t="s">
        <v>464</v>
      </c>
      <c r="C17" s="19">
        <f>Tasandusfond!L17</f>
        <v>14850</v>
      </c>
      <c r="D17" s="19">
        <f>Tasandusfond!M17</f>
        <v>3570</v>
      </c>
      <c r="E17" s="19">
        <v>45000</v>
      </c>
      <c r="F17" s="19">
        <v>43250</v>
      </c>
      <c r="G17" s="19">
        <v>46000</v>
      </c>
      <c r="H17" s="19">
        <v>51250</v>
      </c>
      <c r="I17" s="19">
        <v>8511</v>
      </c>
      <c r="J17" s="19">
        <v>12990</v>
      </c>
      <c r="K17" s="19">
        <v>15373</v>
      </c>
      <c r="L17" s="19">
        <v>18365</v>
      </c>
      <c r="M17" s="19">
        <f t="shared" si="0"/>
        <v>11445</v>
      </c>
      <c r="N17" s="19">
        <f t="shared" si="1"/>
        <v>52194</v>
      </c>
      <c r="O17" s="19">
        <v>44330</v>
      </c>
      <c r="P17" s="19">
        <f t="shared" si="2"/>
        <v>7864</v>
      </c>
    </row>
    <row r="18" spans="1:17" x14ac:dyDescent="0.25">
      <c r="A18" s="28" t="s">
        <v>69</v>
      </c>
      <c r="B18" s="29" t="s">
        <v>587</v>
      </c>
      <c r="C18" s="19">
        <f>Tasandusfond!L18</f>
        <v>284704</v>
      </c>
      <c r="D18" s="19">
        <f>Tasandusfond!M18</f>
        <v>84566</v>
      </c>
      <c r="E18" s="19">
        <v>979501</v>
      </c>
      <c r="F18" s="19">
        <v>1000748.85</v>
      </c>
      <c r="G18" s="19">
        <v>1240515</v>
      </c>
      <c r="H18" s="19">
        <v>1144496.46</v>
      </c>
      <c r="I18" s="19">
        <v>207676</v>
      </c>
      <c r="J18" s="19">
        <v>411636</v>
      </c>
      <c r="K18" s="19">
        <v>373503.15</v>
      </c>
      <c r="L18" s="19">
        <v>244905.14999999991</v>
      </c>
      <c r="M18" s="19">
        <f t="shared" si="0"/>
        <v>277179.68999999994</v>
      </c>
      <c r="N18" s="19">
        <f t="shared" si="1"/>
        <v>1151645</v>
      </c>
      <c r="O18" s="19">
        <v>1176771</v>
      </c>
      <c r="P18" s="19">
        <f t="shared" si="2"/>
        <v>-25126</v>
      </c>
      <c r="Q18" s="2"/>
    </row>
    <row r="19" spans="1:17" x14ac:dyDescent="0.25">
      <c r="A19" s="28" t="s">
        <v>69</v>
      </c>
      <c r="B19" s="29" t="s">
        <v>460</v>
      </c>
      <c r="C19" s="19">
        <f>Tasandusfond!L19</f>
        <v>12985</v>
      </c>
      <c r="D19" s="19">
        <f>Tasandusfond!M19</f>
        <v>3135</v>
      </c>
      <c r="E19" s="19">
        <v>24500</v>
      </c>
      <c r="F19" s="19">
        <v>28250</v>
      </c>
      <c r="G19" s="19">
        <v>31250</v>
      </c>
      <c r="H19" s="19">
        <v>28250</v>
      </c>
      <c r="I19" s="19">
        <v>21558</v>
      </c>
      <c r="J19" s="19">
        <v>23694</v>
      </c>
      <c r="K19" s="19">
        <v>21029</v>
      </c>
      <c r="L19" s="19">
        <v>23851</v>
      </c>
      <c r="M19" s="19">
        <f t="shared" si="0"/>
        <v>26094</v>
      </c>
      <c r="N19" s="19">
        <f t="shared" si="1"/>
        <v>29725</v>
      </c>
      <c r="O19" s="19">
        <v>30493</v>
      </c>
      <c r="P19" s="19">
        <f t="shared" si="2"/>
        <v>-768</v>
      </c>
    </row>
    <row r="20" spans="1:17" x14ac:dyDescent="0.25">
      <c r="A20" s="28" t="s">
        <v>67</v>
      </c>
      <c r="B20" s="29" t="s">
        <v>591</v>
      </c>
      <c r="C20" s="19">
        <f>Tasandusfond!L20</f>
        <v>6074</v>
      </c>
      <c r="D20" s="19">
        <f>Tasandusfond!M20</f>
        <v>2251</v>
      </c>
      <c r="E20" s="19">
        <v>31500</v>
      </c>
      <c r="F20" s="19">
        <v>25750</v>
      </c>
      <c r="G20" s="19">
        <v>29750</v>
      </c>
      <c r="H20" s="19">
        <v>28500</v>
      </c>
      <c r="I20" s="19">
        <v>0</v>
      </c>
      <c r="J20" s="19">
        <v>2442</v>
      </c>
      <c r="K20" s="19">
        <v>8049</v>
      </c>
      <c r="L20" s="19">
        <v>7051</v>
      </c>
      <c r="M20" s="19">
        <f t="shared" si="0"/>
        <v>7440</v>
      </c>
      <c r="N20" s="19">
        <f t="shared" si="1"/>
        <v>28829</v>
      </c>
      <c r="O20" s="19">
        <v>28889</v>
      </c>
      <c r="P20" s="19">
        <f t="shared" si="2"/>
        <v>-60</v>
      </c>
    </row>
    <row r="21" spans="1:17" x14ac:dyDescent="0.25">
      <c r="A21" s="28" t="s">
        <v>58</v>
      </c>
      <c r="B21" s="29" t="s">
        <v>592</v>
      </c>
      <c r="C21" s="19">
        <f>Tasandusfond!L21</f>
        <v>2774</v>
      </c>
      <c r="D21" s="19">
        <f>Tasandusfond!M21</f>
        <v>1115</v>
      </c>
      <c r="E21" s="19">
        <v>17500</v>
      </c>
      <c r="F21" s="19">
        <v>19250</v>
      </c>
      <c r="G21" s="19">
        <v>17750</v>
      </c>
      <c r="H21" s="19">
        <v>19000</v>
      </c>
      <c r="I21" s="19">
        <v>0</v>
      </c>
      <c r="J21" s="19">
        <v>392</v>
      </c>
      <c r="K21" s="19">
        <v>0</v>
      </c>
      <c r="L21" s="19">
        <v>712</v>
      </c>
      <c r="M21" s="19">
        <f t="shared" si="0"/>
        <v>0</v>
      </c>
      <c r="N21" s="19">
        <f t="shared" si="1"/>
        <v>17690</v>
      </c>
      <c r="O21" s="19">
        <v>17047</v>
      </c>
      <c r="P21" s="19">
        <f t="shared" si="2"/>
        <v>643</v>
      </c>
    </row>
    <row r="22" spans="1:17" x14ac:dyDescent="0.25">
      <c r="A22" s="28" t="s">
        <v>58</v>
      </c>
      <c r="B22" s="29" t="s">
        <v>434</v>
      </c>
      <c r="C22" s="19">
        <f>Tasandusfond!L22</f>
        <v>6320</v>
      </c>
      <c r="D22" s="19">
        <f>Tasandusfond!M22</f>
        <v>2958</v>
      </c>
      <c r="E22" s="19">
        <v>39250</v>
      </c>
      <c r="F22" s="19">
        <v>47500</v>
      </c>
      <c r="G22" s="19">
        <v>45000</v>
      </c>
      <c r="H22" s="19">
        <v>44250</v>
      </c>
      <c r="I22" s="19">
        <v>0</v>
      </c>
      <c r="J22" s="19">
        <v>5568</v>
      </c>
      <c r="K22" s="19">
        <v>0</v>
      </c>
      <c r="L22" s="19">
        <v>2815</v>
      </c>
      <c r="M22" s="19">
        <f t="shared" si="0"/>
        <v>1397</v>
      </c>
      <c r="N22" s="19">
        <f t="shared" si="1"/>
        <v>44314</v>
      </c>
      <c r="O22" s="19">
        <v>42832</v>
      </c>
      <c r="P22" s="19">
        <f t="shared" si="2"/>
        <v>1482</v>
      </c>
    </row>
    <row r="23" spans="1:17" x14ac:dyDescent="0.25">
      <c r="A23" s="28" t="s">
        <v>58</v>
      </c>
      <c r="B23" s="29" t="s">
        <v>57</v>
      </c>
      <c r="C23" s="19">
        <f>Tasandusfond!L23</f>
        <v>17968</v>
      </c>
      <c r="D23" s="19">
        <f>Tasandusfond!M23</f>
        <v>8679</v>
      </c>
      <c r="E23" s="19">
        <v>120000</v>
      </c>
      <c r="F23" s="19">
        <v>132000</v>
      </c>
      <c r="G23" s="19">
        <v>140750</v>
      </c>
      <c r="H23" s="19">
        <v>139750</v>
      </c>
      <c r="I23" s="19">
        <v>4433</v>
      </c>
      <c r="J23" s="19">
        <v>9488</v>
      </c>
      <c r="K23" s="19">
        <v>0</v>
      </c>
      <c r="L23" s="19">
        <v>0</v>
      </c>
      <c r="M23" s="19">
        <f t="shared" si="0"/>
        <v>0</v>
      </c>
      <c r="N23" s="19">
        <f t="shared" si="1"/>
        <v>133445</v>
      </c>
      <c r="O23" s="19">
        <v>132951</v>
      </c>
      <c r="P23" s="19">
        <f t="shared" si="2"/>
        <v>494</v>
      </c>
    </row>
    <row r="24" spans="1:17" x14ac:dyDescent="0.25">
      <c r="A24" s="28" t="s">
        <v>58</v>
      </c>
      <c r="B24" s="29" t="s">
        <v>426</v>
      </c>
      <c r="C24" s="19">
        <f>Tasandusfond!L24</f>
        <v>4459</v>
      </c>
      <c r="D24" s="19">
        <f>Tasandusfond!M24</f>
        <v>2414</v>
      </c>
      <c r="E24" s="19">
        <v>38750</v>
      </c>
      <c r="F24" s="19">
        <v>34250</v>
      </c>
      <c r="G24" s="19">
        <v>42000</v>
      </c>
      <c r="H24" s="19">
        <v>44000</v>
      </c>
      <c r="I24" s="19">
        <v>0</v>
      </c>
      <c r="J24" s="19">
        <v>0</v>
      </c>
      <c r="K24" s="19">
        <v>1752</v>
      </c>
      <c r="L24" s="19">
        <v>0</v>
      </c>
      <c r="M24" s="19">
        <f t="shared" si="0"/>
        <v>0</v>
      </c>
      <c r="N24" s="19">
        <f t="shared" si="1"/>
        <v>36485</v>
      </c>
      <c r="O24" s="19">
        <v>36701</v>
      </c>
      <c r="P24" s="19">
        <f t="shared" si="2"/>
        <v>-216</v>
      </c>
    </row>
    <row r="25" spans="1:17" x14ac:dyDescent="0.25">
      <c r="A25" s="28" t="s">
        <v>58</v>
      </c>
      <c r="B25" s="29" t="s">
        <v>59</v>
      </c>
      <c r="C25" s="19">
        <f>Tasandusfond!L25</f>
        <v>30303</v>
      </c>
      <c r="D25" s="19">
        <f>Tasandusfond!M25</f>
        <v>14083</v>
      </c>
      <c r="E25" s="19">
        <v>251100</v>
      </c>
      <c r="F25" s="19">
        <v>241800</v>
      </c>
      <c r="G25" s="19">
        <v>308100</v>
      </c>
      <c r="H25" s="19">
        <v>259300</v>
      </c>
      <c r="I25" s="19">
        <v>0</v>
      </c>
      <c r="J25" s="19">
        <v>0</v>
      </c>
      <c r="K25" s="19">
        <v>0</v>
      </c>
      <c r="L25" s="19">
        <v>0</v>
      </c>
      <c r="M25" s="19">
        <f t="shared" si="0"/>
        <v>0</v>
      </c>
      <c r="N25" s="19">
        <f t="shared" si="1"/>
        <v>217880</v>
      </c>
      <c r="O25" s="19">
        <v>218245</v>
      </c>
      <c r="P25" s="19">
        <f t="shared" si="2"/>
        <v>-365</v>
      </c>
    </row>
    <row r="26" spans="1:17" x14ac:dyDescent="0.25">
      <c r="A26" s="28" t="s">
        <v>58</v>
      </c>
      <c r="B26" s="29" t="s">
        <v>62</v>
      </c>
      <c r="C26" s="19">
        <f>Tasandusfond!L26</f>
        <v>2763</v>
      </c>
      <c r="D26" s="19">
        <f>Tasandusfond!M26</f>
        <v>1255</v>
      </c>
      <c r="E26" s="19">
        <v>24600</v>
      </c>
      <c r="F26" s="19">
        <v>21875</v>
      </c>
      <c r="G26" s="19">
        <v>24600</v>
      </c>
      <c r="H26" s="19">
        <v>24000</v>
      </c>
      <c r="I26" s="19">
        <v>0</v>
      </c>
      <c r="J26" s="19">
        <v>0</v>
      </c>
      <c r="K26" s="19">
        <v>0</v>
      </c>
      <c r="L26" s="19">
        <v>0</v>
      </c>
      <c r="M26" s="19">
        <f t="shared" si="0"/>
        <v>0</v>
      </c>
      <c r="N26" s="19">
        <f t="shared" si="1"/>
        <v>19490</v>
      </c>
      <c r="O26" s="19">
        <v>19185</v>
      </c>
      <c r="P26" s="19">
        <f t="shared" si="2"/>
        <v>305</v>
      </c>
    </row>
    <row r="27" spans="1:17" x14ac:dyDescent="0.25">
      <c r="A27" s="28" t="s">
        <v>58</v>
      </c>
      <c r="B27" s="29" t="s">
        <v>61</v>
      </c>
      <c r="C27" s="19">
        <f>Tasandusfond!L27</f>
        <v>6821</v>
      </c>
      <c r="D27" s="19">
        <f>Tasandusfond!M27</f>
        <v>3476</v>
      </c>
      <c r="E27" s="19">
        <v>52916</v>
      </c>
      <c r="F27" s="19">
        <v>54289</v>
      </c>
      <c r="G27" s="19">
        <v>69711</v>
      </c>
      <c r="H27" s="19">
        <v>56310</v>
      </c>
      <c r="I27" s="19">
        <v>0</v>
      </c>
      <c r="J27" s="19">
        <v>0</v>
      </c>
      <c r="K27" s="19">
        <v>0</v>
      </c>
      <c r="L27" s="19">
        <v>0</v>
      </c>
      <c r="M27" s="19">
        <f t="shared" si="0"/>
        <v>0</v>
      </c>
      <c r="N27" s="19">
        <f t="shared" si="1"/>
        <v>53005</v>
      </c>
      <c r="O27" s="19">
        <v>52323</v>
      </c>
      <c r="P27" s="19">
        <f t="shared" si="2"/>
        <v>682</v>
      </c>
    </row>
    <row r="28" spans="1:17" x14ac:dyDescent="0.25">
      <c r="A28" s="28" t="s">
        <v>58</v>
      </c>
      <c r="B28" s="29" t="s">
        <v>64</v>
      </c>
      <c r="C28" s="19">
        <f>Tasandusfond!L28</f>
        <v>2643</v>
      </c>
      <c r="D28" s="19">
        <f>Tasandusfond!M28</f>
        <v>1083</v>
      </c>
      <c r="E28" s="19">
        <v>18300</v>
      </c>
      <c r="F28" s="19">
        <v>18000</v>
      </c>
      <c r="G28" s="19">
        <v>15300</v>
      </c>
      <c r="H28" s="19">
        <v>15000</v>
      </c>
      <c r="I28" s="19">
        <v>197</v>
      </c>
      <c r="J28" s="19">
        <v>0</v>
      </c>
      <c r="K28" s="19">
        <v>0</v>
      </c>
      <c r="L28" s="19">
        <v>2099</v>
      </c>
      <c r="M28" s="19">
        <f t="shared" si="0"/>
        <v>2051</v>
      </c>
      <c r="N28" s="19">
        <f t="shared" si="1"/>
        <v>15071</v>
      </c>
      <c r="O28" s="19">
        <v>14952</v>
      </c>
      <c r="P28" s="19">
        <f t="shared" si="2"/>
        <v>119</v>
      </c>
    </row>
    <row r="29" spans="1:17" x14ac:dyDescent="0.25">
      <c r="A29" s="28" t="s">
        <v>55</v>
      </c>
      <c r="B29" s="29" t="s">
        <v>409</v>
      </c>
      <c r="C29" s="19">
        <f>Tasandusfond!L29</f>
        <v>7374</v>
      </c>
      <c r="D29" s="19">
        <f>Tasandusfond!M29</f>
        <v>3215</v>
      </c>
      <c r="E29" s="19">
        <v>82161.5</v>
      </c>
      <c r="F29" s="19">
        <v>79200</v>
      </c>
      <c r="G29" s="19">
        <v>100620</v>
      </c>
      <c r="H29" s="19">
        <v>92082</v>
      </c>
      <c r="I29" s="19">
        <v>0</v>
      </c>
      <c r="J29" s="19">
        <v>0</v>
      </c>
      <c r="K29" s="19">
        <v>0</v>
      </c>
      <c r="L29" s="19">
        <v>0</v>
      </c>
      <c r="M29" s="19">
        <f t="shared" si="0"/>
        <v>0</v>
      </c>
      <c r="N29" s="19">
        <f t="shared" si="1"/>
        <v>50275</v>
      </c>
      <c r="O29" s="19">
        <v>51076</v>
      </c>
      <c r="P29" s="19">
        <f t="shared" si="2"/>
        <v>-801</v>
      </c>
    </row>
    <row r="30" spans="1:17" x14ac:dyDescent="0.25">
      <c r="A30" s="28" t="s">
        <v>55</v>
      </c>
      <c r="B30" s="29" t="s">
        <v>593</v>
      </c>
      <c r="C30" s="19">
        <f>Tasandusfond!L30</f>
        <v>3082</v>
      </c>
      <c r="D30" s="19">
        <f>Tasandusfond!M30</f>
        <v>1419</v>
      </c>
      <c r="E30" s="19">
        <v>25500</v>
      </c>
      <c r="F30" s="19">
        <v>24750</v>
      </c>
      <c r="G30" s="19">
        <v>24500</v>
      </c>
      <c r="H30" s="19">
        <v>23000</v>
      </c>
      <c r="I30" s="19">
        <v>0</v>
      </c>
      <c r="J30" s="19">
        <v>0</v>
      </c>
      <c r="K30" s="19">
        <v>0</v>
      </c>
      <c r="L30" s="19">
        <v>0</v>
      </c>
      <c r="M30" s="19">
        <f t="shared" si="0"/>
        <v>0</v>
      </c>
      <c r="N30" s="19">
        <f t="shared" si="1"/>
        <v>21987</v>
      </c>
      <c r="O30" s="19">
        <v>22134</v>
      </c>
      <c r="P30" s="19">
        <f t="shared" si="2"/>
        <v>-147</v>
      </c>
    </row>
    <row r="31" spans="1:17" x14ac:dyDescent="0.25">
      <c r="A31" s="28" t="s">
        <v>55</v>
      </c>
      <c r="B31" s="29" t="s">
        <v>397</v>
      </c>
      <c r="C31" s="19">
        <f>Tasandusfond!L31</f>
        <v>5329</v>
      </c>
      <c r="D31" s="19">
        <f>Tasandusfond!M31</f>
        <v>2419</v>
      </c>
      <c r="E31" s="19">
        <v>29250</v>
      </c>
      <c r="F31" s="19">
        <v>29038.79</v>
      </c>
      <c r="G31" s="19">
        <v>39060</v>
      </c>
      <c r="H31" s="19">
        <v>33834</v>
      </c>
      <c r="I31" s="19">
        <v>1116</v>
      </c>
      <c r="J31" s="19">
        <v>8050</v>
      </c>
      <c r="K31" s="19">
        <v>7672.2099999999991</v>
      </c>
      <c r="L31" s="19">
        <v>568.20999999999913</v>
      </c>
      <c r="M31" s="19">
        <f t="shared" si="0"/>
        <v>3574.2099999999991</v>
      </c>
      <c r="N31" s="19">
        <f t="shared" si="1"/>
        <v>33996</v>
      </c>
      <c r="O31" s="19">
        <v>36840</v>
      </c>
      <c r="P31" s="19">
        <f t="shared" si="2"/>
        <v>-2844</v>
      </c>
    </row>
    <row r="32" spans="1:17" x14ac:dyDescent="0.25">
      <c r="A32" s="28" t="s">
        <v>52</v>
      </c>
      <c r="B32" s="29" t="s">
        <v>594</v>
      </c>
      <c r="C32" s="19">
        <f>Tasandusfond!L32</f>
        <v>4975</v>
      </c>
      <c r="D32" s="19">
        <f>Tasandusfond!M32</f>
        <v>1989</v>
      </c>
      <c r="E32" s="19">
        <v>32353.55</v>
      </c>
      <c r="F32" s="19">
        <v>31760</v>
      </c>
      <c r="G32" s="19">
        <v>36561.199999999997</v>
      </c>
      <c r="H32" s="19">
        <v>35739</v>
      </c>
      <c r="I32" s="19">
        <v>0</v>
      </c>
      <c r="J32" s="19">
        <v>0</v>
      </c>
      <c r="K32" s="19">
        <v>0</v>
      </c>
      <c r="L32" s="19">
        <v>0</v>
      </c>
      <c r="M32" s="19">
        <f t="shared" si="0"/>
        <v>0</v>
      </c>
      <c r="N32" s="19">
        <f t="shared" si="1"/>
        <v>31587</v>
      </c>
      <c r="O32" s="19">
        <v>31803</v>
      </c>
      <c r="P32" s="19">
        <f t="shared" si="2"/>
        <v>-216</v>
      </c>
    </row>
    <row r="33" spans="1:16" x14ac:dyDescent="0.25">
      <c r="A33" s="28" t="s">
        <v>52</v>
      </c>
      <c r="B33" s="29" t="s">
        <v>51</v>
      </c>
      <c r="C33" s="19">
        <f>Tasandusfond!L33</f>
        <v>5751</v>
      </c>
      <c r="D33" s="19">
        <f>Tasandusfond!M33</f>
        <v>2494</v>
      </c>
      <c r="E33" s="19">
        <v>30250</v>
      </c>
      <c r="F33" s="19">
        <v>33250</v>
      </c>
      <c r="G33" s="19">
        <v>34250</v>
      </c>
      <c r="H33" s="19">
        <v>42688</v>
      </c>
      <c r="I33" s="19">
        <v>1693</v>
      </c>
      <c r="J33" s="19">
        <v>8551</v>
      </c>
      <c r="K33" s="19">
        <v>5199</v>
      </c>
      <c r="L33" s="19">
        <v>6850</v>
      </c>
      <c r="M33" s="19">
        <f t="shared" si="0"/>
        <v>0</v>
      </c>
      <c r="N33" s="19">
        <f t="shared" si="1"/>
        <v>39036</v>
      </c>
      <c r="O33" s="19">
        <v>32495</v>
      </c>
      <c r="P33" s="19">
        <f t="shared" si="2"/>
        <v>6541</v>
      </c>
    </row>
    <row r="34" spans="1:16" x14ac:dyDescent="0.25">
      <c r="A34" s="28" t="s">
        <v>52</v>
      </c>
      <c r="B34" s="29" t="s">
        <v>370</v>
      </c>
      <c r="C34" s="19">
        <f>Tasandusfond!L34</f>
        <v>5946</v>
      </c>
      <c r="D34" s="19">
        <f>Tasandusfond!M34</f>
        <v>2684</v>
      </c>
      <c r="E34" s="19">
        <v>38750</v>
      </c>
      <c r="F34" s="19">
        <v>37204.400000000001</v>
      </c>
      <c r="G34" s="19">
        <v>43730.8</v>
      </c>
      <c r="H34" s="19">
        <v>43877</v>
      </c>
      <c r="I34" s="19">
        <v>2809.8000000000029</v>
      </c>
      <c r="J34" s="19">
        <v>2880.8000000000029</v>
      </c>
      <c r="K34" s="19">
        <v>3852.4000000000015</v>
      </c>
      <c r="L34" s="19">
        <v>710.59999999999854</v>
      </c>
      <c r="M34" s="19">
        <f t="shared" si="0"/>
        <v>0</v>
      </c>
      <c r="N34" s="19">
        <f t="shared" si="1"/>
        <v>41725</v>
      </c>
      <c r="O34" s="19">
        <v>41411</v>
      </c>
      <c r="P34" s="19">
        <f t="shared" si="2"/>
        <v>314</v>
      </c>
    </row>
    <row r="35" spans="1:16" x14ac:dyDescent="0.25">
      <c r="A35" s="28" t="s">
        <v>47</v>
      </c>
      <c r="B35" s="29" t="s">
        <v>48</v>
      </c>
      <c r="C35" s="19">
        <f>Tasandusfond!L35</f>
        <v>7077</v>
      </c>
      <c r="D35" s="19">
        <f>Tasandusfond!M35</f>
        <v>3382</v>
      </c>
      <c r="E35" s="19">
        <v>33110</v>
      </c>
      <c r="F35" s="19">
        <v>49140</v>
      </c>
      <c r="G35" s="19">
        <v>55330</v>
      </c>
      <c r="H35" s="19">
        <v>43990</v>
      </c>
      <c r="I35" s="19">
        <v>273</v>
      </c>
      <c r="J35" s="19">
        <v>17245</v>
      </c>
      <c r="K35" s="19">
        <v>1218</v>
      </c>
      <c r="L35" s="19">
        <v>0</v>
      </c>
      <c r="M35" s="19">
        <f t="shared" si="0"/>
        <v>7640</v>
      </c>
      <c r="N35" s="19">
        <f t="shared" si="1"/>
        <v>44449</v>
      </c>
      <c r="O35" s="19">
        <v>51630</v>
      </c>
      <c r="P35" s="19">
        <f t="shared" si="2"/>
        <v>-7181</v>
      </c>
    </row>
    <row r="36" spans="1:16" x14ac:dyDescent="0.25">
      <c r="A36" s="28" t="s">
        <v>47</v>
      </c>
      <c r="B36" s="29" t="s">
        <v>353</v>
      </c>
      <c r="C36" s="19">
        <f>Tasandusfond!L36</f>
        <v>4169</v>
      </c>
      <c r="D36" s="19">
        <f>Tasandusfond!M36</f>
        <v>1641</v>
      </c>
      <c r="E36" s="19">
        <v>19600</v>
      </c>
      <c r="F36" s="19">
        <v>17000</v>
      </c>
      <c r="G36" s="19">
        <v>20800</v>
      </c>
      <c r="H36" s="19">
        <v>24550</v>
      </c>
      <c r="I36" s="19">
        <v>5170</v>
      </c>
      <c r="J36" s="19">
        <v>5865</v>
      </c>
      <c r="K36" s="19">
        <v>8227</v>
      </c>
      <c r="L36" s="19">
        <v>6678</v>
      </c>
      <c r="M36" s="19">
        <f t="shared" si="0"/>
        <v>1542</v>
      </c>
      <c r="N36" s="19">
        <f t="shared" si="1"/>
        <v>24594</v>
      </c>
      <c r="O36" s="19">
        <v>19414</v>
      </c>
      <c r="P36" s="19">
        <f t="shared" si="2"/>
        <v>5180</v>
      </c>
    </row>
    <row r="37" spans="1:16" x14ac:dyDescent="0.25">
      <c r="A37" s="28" t="s">
        <v>47</v>
      </c>
      <c r="B37" s="29" t="s">
        <v>349</v>
      </c>
      <c r="C37" s="19">
        <f>Tasandusfond!L37</f>
        <v>305</v>
      </c>
      <c r="D37" s="19">
        <f>Tasandusfond!M37</f>
        <v>102</v>
      </c>
      <c r="E37" s="19">
        <v>1500</v>
      </c>
      <c r="F37" s="19">
        <v>1750</v>
      </c>
      <c r="G37" s="19">
        <v>500</v>
      </c>
      <c r="H37" s="19">
        <v>1250</v>
      </c>
      <c r="I37" s="19">
        <v>649</v>
      </c>
      <c r="J37" s="19">
        <v>0</v>
      </c>
      <c r="K37" s="19">
        <v>0</v>
      </c>
      <c r="L37" s="19">
        <v>1162</v>
      </c>
      <c r="M37" s="19">
        <f t="shared" si="0"/>
        <v>421</v>
      </c>
      <c r="N37" s="19">
        <f t="shared" si="1"/>
        <v>1257</v>
      </c>
      <c r="O37" s="19">
        <v>509</v>
      </c>
      <c r="P37" s="19">
        <f t="shared" si="2"/>
        <v>748</v>
      </c>
    </row>
    <row r="38" spans="1:16" x14ac:dyDescent="0.25">
      <c r="A38" s="28" t="s">
        <v>38</v>
      </c>
      <c r="B38" s="29" t="s">
        <v>344</v>
      </c>
      <c r="C38" s="19">
        <f>Tasandusfond!L38</f>
        <v>2576</v>
      </c>
      <c r="D38" s="19">
        <f>Tasandusfond!M38</f>
        <v>1039</v>
      </c>
      <c r="E38" s="19">
        <v>15910</v>
      </c>
      <c r="F38" s="19">
        <v>15900</v>
      </c>
      <c r="G38" s="19">
        <v>22200</v>
      </c>
      <c r="H38" s="19">
        <v>14100</v>
      </c>
      <c r="I38" s="19">
        <v>0</v>
      </c>
      <c r="J38" s="19">
        <v>186</v>
      </c>
      <c r="K38" s="19">
        <v>4</v>
      </c>
      <c r="L38" s="19">
        <v>0</v>
      </c>
      <c r="M38" s="19">
        <f t="shared" si="0"/>
        <v>2290</v>
      </c>
      <c r="N38" s="19">
        <f t="shared" si="1"/>
        <v>14184</v>
      </c>
      <c r="O38" s="19">
        <v>16390</v>
      </c>
      <c r="P38" s="19">
        <f t="shared" si="2"/>
        <v>-2206</v>
      </c>
    </row>
    <row r="39" spans="1:16" x14ac:dyDescent="0.25">
      <c r="A39" s="28" t="s">
        <v>38</v>
      </c>
      <c r="B39" s="29" t="s">
        <v>342</v>
      </c>
      <c r="C39" s="19">
        <f>Tasandusfond!L39</f>
        <v>2840</v>
      </c>
      <c r="D39" s="19">
        <f>Tasandusfond!M39</f>
        <v>951</v>
      </c>
      <c r="E39" s="19">
        <v>9154</v>
      </c>
      <c r="F39" s="19">
        <v>13788</v>
      </c>
      <c r="G39" s="19">
        <v>14250</v>
      </c>
      <c r="H39" s="19">
        <v>11250</v>
      </c>
      <c r="I39" s="19">
        <v>0</v>
      </c>
      <c r="J39" s="19">
        <v>5855</v>
      </c>
      <c r="K39" s="19">
        <v>1212</v>
      </c>
      <c r="L39" s="19">
        <v>1844</v>
      </c>
      <c r="M39" s="19">
        <f t="shared" si="0"/>
        <v>4183</v>
      </c>
      <c r="N39" s="19">
        <f t="shared" si="1"/>
        <v>11461</v>
      </c>
      <c r="O39" s="19">
        <v>13589</v>
      </c>
      <c r="P39" s="19">
        <f t="shared" si="2"/>
        <v>-2128</v>
      </c>
    </row>
    <row r="40" spans="1:16" x14ac:dyDescent="0.25">
      <c r="A40" s="28" t="s">
        <v>38</v>
      </c>
      <c r="B40" s="29" t="s">
        <v>336</v>
      </c>
      <c r="C40" s="19">
        <f>Tasandusfond!L40</f>
        <v>3301</v>
      </c>
      <c r="D40" s="19">
        <f>Tasandusfond!M40</f>
        <v>1139</v>
      </c>
      <c r="E40" s="19">
        <v>13500</v>
      </c>
      <c r="F40" s="19">
        <v>10000</v>
      </c>
      <c r="G40" s="19">
        <v>15850</v>
      </c>
      <c r="H40" s="19">
        <v>19500</v>
      </c>
      <c r="I40" s="19">
        <v>0</v>
      </c>
      <c r="J40" s="19">
        <v>4041</v>
      </c>
      <c r="K40" s="19">
        <v>7371</v>
      </c>
      <c r="L40" s="19">
        <v>3406</v>
      </c>
      <c r="M40" s="19">
        <f t="shared" si="0"/>
        <v>0</v>
      </c>
      <c r="N40" s="19">
        <f t="shared" si="1"/>
        <v>18619</v>
      </c>
      <c r="O40" s="19">
        <v>15179</v>
      </c>
      <c r="P40" s="19">
        <f t="shared" si="2"/>
        <v>3440</v>
      </c>
    </row>
    <row r="41" spans="1:16" x14ac:dyDescent="0.25">
      <c r="A41" s="28" t="s">
        <v>38</v>
      </c>
      <c r="B41" s="29" t="s">
        <v>37</v>
      </c>
      <c r="C41" s="19">
        <f>Tasandusfond!L41</f>
        <v>8417</v>
      </c>
      <c r="D41" s="19">
        <f>Tasandusfond!M41</f>
        <v>3281</v>
      </c>
      <c r="E41" s="19">
        <v>44800</v>
      </c>
      <c r="F41" s="19">
        <v>41842</v>
      </c>
      <c r="G41" s="19">
        <v>54314</v>
      </c>
      <c r="H41" s="19">
        <v>45501.4</v>
      </c>
      <c r="I41" s="19">
        <v>4217</v>
      </c>
      <c r="J41" s="19">
        <v>6767</v>
      </c>
      <c r="K41" s="19">
        <v>8958</v>
      </c>
      <c r="L41" s="19">
        <v>685</v>
      </c>
      <c r="M41" s="19">
        <f t="shared" si="0"/>
        <v>6697.5999999999985</v>
      </c>
      <c r="N41" s="19">
        <f t="shared" si="1"/>
        <v>45655</v>
      </c>
      <c r="O41" s="19">
        <v>51514</v>
      </c>
      <c r="P41" s="19">
        <f t="shared" si="2"/>
        <v>-5859</v>
      </c>
    </row>
    <row r="42" spans="1:16" x14ac:dyDescent="0.25">
      <c r="A42" s="28" t="s">
        <v>38</v>
      </c>
      <c r="B42" s="29" t="s">
        <v>328</v>
      </c>
      <c r="C42" s="19">
        <f>Tasandusfond!L42</f>
        <v>5874</v>
      </c>
      <c r="D42" s="19">
        <f>Tasandusfond!M42</f>
        <v>2616</v>
      </c>
      <c r="E42" s="19">
        <v>40000</v>
      </c>
      <c r="F42" s="19">
        <v>45250</v>
      </c>
      <c r="G42" s="19">
        <v>43500</v>
      </c>
      <c r="H42" s="19">
        <v>40500</v>
      </c>
      <c r="I42" s="19">
        <v>0</v>
      </c>
      <c r="J42" s="19">
        <v>364</v>
      </c>
      <c r="K42" s="19">
        <v>0</v>
      </c>
      <c r="L42" s="19">
        <v>0</v>
      </c>
      <c r="M42" s="19">
        <f t="shared" si="0"/>
        <v>157</v>
      </c>
      <c r="N42" s="19">
        <f t="shared" si="1"/>
        <v>40603</v>
      </c>
      <c r="O42" s="19">
        <v>40657</v>
      </c>
      <c r="P42" s="19">
        <f t="shared" si="2"/>
        <v>-54</v>
      </c>
    </row>
    <row r="43" spans="1:16" x14ac:dyDescent="0.25">
      <c r="A43" s="28" t="s">
        <v>38</v>
      </c>
      <c r="B43" s="29" t="s">
        <v>324</v>
      </c>
      <c r="C43" s="19">
        <f>Tasandusfond!L43</f>
        <v>3972</v>
      </c>
      <c r="D43" s="19">
        <f>Tasandusfond!M43</f>
        <v>1399</v>
      </c>
      <c r="E43" s="19">
        <v>32900</v>
      </c>
      <c r="F43" s="19">
        <v>32550</v>
      </c>
      <c r="G43" s="19">
        <v>34300</v>
      </c>
      <c r="H43" s="19">
        <v>39200</v>
      </c>
      <c r="I43" s="19">
        <v>0</v>
      </c>
      <c r="J43" s="19">
        <v>0</v>
      </c>
      <c r="K43" s="19">
        <v>0</v>
      </c>
      <c r="L43" s="19">
        <v>0</v>
      </c>
      <c r="M43" s="19">
        <f t="shared" si="0"/>
        <v>0</v>
      </c>
      <c r="N43" s="19">
        <f t="shared" si="1"/>
        <v>22772</v>
      </c>
      <c r="O43" s="19">
        <v>23154</v>
      </c>
      <c r="P43" s="19">
        <f t="shared" si="2"/>
        <v>-382</v>
      </c>
    </row>
    <row r="44" spans="1:16" x14ac:dyDescent="0.25">
      <c r="A44" s="28" t="s">
        <v>38</v>
      </c>
      <c r="B44" s="29" t="s">
        <v>322</v>
      </c>
      <c r="C44" s="19">
        <f>Tasandusfond!L44</f>
        <v>3195</v>
      </c>
      <c r="D44" s="19">
        <f>Tasandusfond!M44</f>
        <v>1497</v>
      </c>
      <c r="E44" s="19">
        <v>17400</v>
      </c>
      <c r="F44" s="19">
        <v>18000</v>
      </c>
      <c r="G44" s="19">
        <v>19800</v>
      </c>
      <c r="H44" s="19">
        <v>20600</v>
      </c>
      <c r="I44" s="19">
        <v>2685</v>
      </c>
      <c r="J44" s="19">
        <v>5560</v>
      </c>
      <c r="K44" s="19">
        <v>4671</v>
      </c>
      <c r="L44" s="19">
        <v>4573</v>
      </c>
      <c r="M44" s="19">
        <f t="shared" si="0"/>
        <v>2628</v>
      </c>
      <c r="N44" s="19">
        <f t="shared" si="1"/>
        <v>20502</v>
      </c>
      <c r="O44" s="19">
        <v>18655</v>
      </c>
      <c r="P44" s="19">
        <f t="shared" si="2"/>
        <v>1847</v>
      </c>
    </row>
    <row r="45" spans="1:16" x14ac:dyDescent="0.25">
      <c r="A45" s="28" t="s">
        <v>38</v>
      </c>
      <c r="B45" s="29" t="s">
        <v>320</v>
      </c>
      <c r="C45" s="19">
        <f>Tasandusfond!L45</f>
        <v>3186</v>
      </c>
      <c r="D45" s="19">
        <f>Tasandusfond!M45</f>
        <v>1341</v>
      </c>
      <c r="E45" s="19">
        <v>31500</v>
      </c>
      <c r="F45" s="19">
        <v>28000</v>
      </c>
      <c r="G45" s="19">
        <v>38850</v>
      </c>
      <c r="H45" s="19">
        <v>35950</v>
      </c>
      <c r="I45" s="19">
        <v>0</v>
      </c>
      <c r="J45" s="19">
        <v>0</v>
      </c>
      <c r="K45" s="19">
        <v>0</v>
      </c>
      <c r="L45" s="19">
        <v>0</v>
      </c>
      <c r="M45" s="19">
        <f t="shared" si="0"/>
        <v>0</v>
      </c>
      <c r="N45" s="19">
        <f t="shared" si="1"/>
        <v>21099</v>
      </c>
      <c r="O45" s="19">
        <v>21462</v>
      </c>
      <c r="P45" s="19">
        <f t="shared" si="2"/>
        <v>-363</v>
      </c>
    </row>
    <row r="46" spans="1:16" x14ac:dyDescent="0.25">
      <c r="A46" s="28" t="s">
        <v>35</v>
      </c>
      <c r="B46" s="29" t="s">
        <v>316</v>
      </c>
      <c r="C46" s="19">
        <f>Tasandusfond!L46</f>
        <v>2827</v>
      </c>
      <c r="D46" s="19">
        <f>Tasandusfond!M46</f>
        <v>1085</v>
      </c>
      <c r="E46" s="19">
        <v>19123.099999999999</v>
      </c>
      <c r="F46" s="19">
        <v>19394</v>
      </c>
      <c r="G46" s="19">
        <v>17837</v>
      </c>
      <c r="H46" s="19">
        <v>18264</v>
      </c>
      <c r="I46" s="19">
        <v>0</v>
      </c>
      <c r="J46" s="19">
        <v>0</v>
      </c>
      <c r="K46" s="19">
        <v>0</v>
      </c>
      <c r="L46" s="19">
        <v>505</v>
      </c>
      <c r="M46" s="19">
        <f t="shared" si="0"/>
        <v>0</v>
      </c>
      <c r="N46" s="19">
        <f t="shared" si="1"/>
        <v>17364</v>
      </c>
      <c r="O46" s="19">
        <v>16841</v>
      </c>
      <c r="P46" s="19">
        <f t="shared" si="2"/>
        <v>523</v>
      </c>
    </row>
    <row r="47" spans="1:16" x14ac:dyDescent="0.25">
      <c r="A47" s="28" t="s">
        <v>35</v>
      </c>
      <c r="B47" s="29" t="s">
        <v>304</v>
      </c>
      <c r="C47" s="19">
        <f>Tasandusfond!L47</f>
        <v>7645</v>
      </c>
      <c r="D47" s="19">
        <f>Tasandusfond!M47</f>
        <v>3194</v>
      </c>
      <c r="E47" s="19">
        <v>45250</v>
      </c>
      <c r="F47" s="19">
        <v>42250</v>
      </c>
      <c r="G47" s="19">
        <v>54250</v>
      </c>
      <c r="H47" s="19">
        <v>44500</v>
      </c>
      <c r="I47" s="19">
        <v>2910</v>
      </c>
      <c r="J47" s="19">
        <v>4157</v>
      </c>
      <c r="K47" s="19">
        <v>6534</v>
      </c>
      <c r="L47" s="19">
        <v>0</v>
      </c>
      <c r="M47" s="19">
        <f t="shared" si="0"/>
        <v>6000</v>
      </c>
      <c r="N47" s="19">
        <f t="shared" si="1"/>
        <v>44321</v>
      </c>
      <c r="O47" s="19">
        <v>50500</v>
      </c>
      <c r="P47" s="19">
        <f t="shared" si="2"/>
        <v>-6179</v>
      </c>
    </row>
    <row r="48" spans="1:16" x14ac:dyDescent="0.25">
      <c r="A48" s="28" t="s">
        <v>35</v>
      </c>
      <c r="B48" s="29" t="s">
        <v>302</v>
      </c>
      <c r="C48" s="19">
        <f>Tasandusfond!L48</f>
        <v>3577</v>
      </c>
      <c r="D48" s="19">
        <f>Tasandusfond!M48</f>
        <v>1546</v>
      </c>
      <c r="E48" s="19">
        <v>19112.73</v>
      </c>
      <c r="F48" s="19">
        <v>27500</v>
      </c>
      <c r="G48" s="19">
        <v>29297.51</v>
      </c>
      <c r="H48" s="19">
        <v>25128</v>
      </c>
      <c r="I48" s="19">
        <v>882</v>
      </c>
      <c r="J48" s="19">
        <v>4858.2700000000004</v>
      </c>
      <c r="K48" s="19">
        <v>0</v>
      </c>
      <c r="L48" s="19">
        <v>0</v>
      </c>
      <c r="M48" s="19">
        <f t="shared" si="0"/>
        <v>0</v>
      </c>
      <c r="N48" s="19">
        <f t="shared" si="1"/>
        <v>24212</v>
      </c>
      <c r="O48" s="19">
        <v>24270</v>
      </c>
      <c r="P48" s="19">
        <f t="shared" si="2"/>
        <v>-58</v>
      </c>
    </row>
    <row r="49" spans="1:16" x14ac:dyDescent="0.25">
      <c r="A49" s="28" t="s">
        <v>28</v>
      </c>
      <c r="B49" s="29" t="s">
        <v>283</v>
      </c>
      <c r="C49" s="19">
        <f>Tasandusfond!L49</f>
        <v>3021</v>
      </c>
      <c r="D49" s="19">
        <f>Tasandusfond!M49</f>
        <v>1021</v>
      </c>
      <c r="E49" s="19">
        <v>15000</v>
      </c>
      <c r="F49" s="19">
        <v>15250</v>
      </c>
      <c r="G49" s="19">
        <v>17500</v>
      </c>
      <c r="H49" s="19">
        <v>18250</v>
      </c>
      <c r="I49" s="19">
        <v>4341</v>
      </c>
      <c r="J49" s="19">
        <v>1437</v>
      </c>
      <c r="K49" s="19">
        <v>1008</v>
      </c>
      <c r="L49" s="19">
        <v>242</v>
      </c>
      <c r="M49" s="19">
        <f t="shared" si="0"/>
        <v>0</v>
      </c>
      <c r="N49" s="19">
        <f t="shared" si="1"/>
        <v>16762</v>
      </c>
      <c r="O49" s="19">
        <v>16589</v>
      </c>
      <c r="P49" s="19">
        <f t="shared" si="2"/>
        <v>173</v>
      </c>
    </row>
    <row r="50" spans="1:16" x14ac:dyDescent="0.25">
      <c r="A50" s="28" t="s">
        <v>28</v>
      </c>
      <c r="B50" s="29" t="s">
        <v>281</v>
      </c>
      <c r="C50" s="19">
        <f>Tasandusfond!L50</f>
        <v>467</v>
      </c>
      <c r="D50" s="19">
        <f>Tasandusfond!M50</f>
        <v>132</v>
      </c>
      <c r="E50" s="19">
        <v>1250</v>
      </c>
      <c r="F50" s="19">
        <v>1750</v>
      </c>
      <c r="G50" s="19">
        <v>1500</v>
      </c>
      <c r="H50" s="19">
        <v>2250</v>
      </c>
      <c r="I50" s="19">
        <v>5</v>
      </c>
      <c r="J50" s="19">
        <v>935</v>
      </c>
      <c r="K50" s="19">
        <v>430</v>
      </c>
      <c r="L50" s="19">
        <v>843</v>
      </c>
      <c r="M50" s="19">
        <f t="shared" si="0"/>
        <v>60</v>
      </c>
      <c r="N50" s="19">
        <f t="shared" si="1"/>
        <v>2197</v>
      </c>
      <c r="O50" s="19">
        <v>1467</v>
      </c>
      <c r="P50" s="19">
        <f t="shared" si="2"/>
        <v>730</v>
      </c>
    </row>
    <row r="51" spans="1:16" x14ac:dyDescent="0.25">
      <c r="A51" s="28" t="s">
        <v>28</v>
      </c>
      <c r="B51" s="29" t="s">
        <v>595</v>
      </c>
      <c r="C51" s="19">
        <f>Tasandusfond!L51</f>
        <v>2991</v>
      </c>
      <c r="D51" s="19">
        <f>Tasandusfond!M51</f>
        <v>1359</v>
      </c>
      <c r="E51" s="19">
        <v>23162.89</v>
      </c>
      <c r="F51" s="19">
        <v>23250</v>
      </c>
      <c r="G51" s="19">
        <v>25250</v>
      </c>
      <c r="H51" s="19">
        <v>20500</v>
      </c>
      <c r="I51" s="19">
        <v>0</v>
      </c>
      <c r="J51" s="19">
        <v>0</v>
      </c>
      <c r="K51" s="19">
        <v>0</v>
      </c>
      <c r="L51" s="19">
        <v>0</v>
      </c>
      <c r="M51" s="19">
        <f t="shared" si="0"/>
        <v>719</v>
      </c>
      <c r="N51" s="19">
        <f t="shared" si="1"/>
        <v>20385</v>
      </c>
      <c r="O51" s="19">
        <v>21219</v>
      </c>
      <c r="P51" s="19">
        <f t="shared" si="2"/>
        <v>-834</v>
      </c>
    </row>
    <row r="52" spans="1:16" x14ac:dyDescent="0.25">
      <c r="A52" s="28" t="s">
        <v>28</v>
      </c>
      <c r="B52" s="29" t="s">
        <v>596</v>
      </c>
      <c r="C52" s="19">
        <f>Tasandusfond!L52</f>
        <v>4468</v>
      </c>
      <c r="D52" s="19">
        <f>Tasandusfond!M52</f>
        <v>2008</v>
      </c>
      <c r="E52" s="19">
        <v>31720</v>
      </c>
      <c r="F52" s="19">
        <v>36935</v>
      </c>
      <c r="G52" s="19">
        <v>39725.730000000003</v>
      </c>
      <c r="H52" s="19">
        <v>31988</v>
      </c>
      <c r="I52" s="19">
        <v>2547.2000000000007</v>
      </c>
      <c r="J52" s="19">
        <v>0</v>
      </c>
      <c r="K52" s="19">
        <v>0</v>
      </c>
      <c r="L52" s="19">
        <v>0</v>
      </c>
      <c r="M52" s="19">
        <f t="shared" si="0"/>
        <v>0</v>
      </c>
      <c r="N52" s="19">
        <f t="shared" si="1"/>
        <v>31239</v>
      </c>
      <c r="O52" s="19">
        <v>31589</v>
      </c>
      <c r="P52" s="19">
        <f t="shared" si="2"/>
        <v>-350</v>
      </c>
    </row>
    <row r="53" spans="1:16" x14ac:dyDescent="0.25">
      <c r="A53" s="28" t="s">
        <v>28</v>
      </c>
      <c r="B53" s="29" t="s">
        <v>30</v>
      </c>
      <c r="C53" s="19">
        <f>Tasandusfond!L53</f>
        <v>29163</v>
      </c>
      <c r="D53" s="19">
        <f>Tasandusfond!M53</f>
        <v>11713</v>
      </c>
      <c r="E53" s="19">
        <v>154237.76999999999</v>
      </c>
      <c r="F53" s="19">
        <v>165330.69</v>
      </c>
      <c r="G53" s="19">
        <v>177451.2</v>
      </c>
      <c r="H53" s="19">
        <v>176752</v>
      </c>
      <c r="I53" s="19">
        <v>27753</v>
      </c>
      <c r="J53" s="19">
        <v>28438.23000000001</v>
      </c>
      <c r="K53" s="19">
        <v>16116.540000000008</v>
      </c>
      <c r="L53" s="19">
        <v>16881.339999999997</v>
      </c>
      <c r="M53" s="19">
        <f t="shared" si="0"/>
        <v>9211.3399999999965</v>
      </c>
      <c r="N53" s="19">
        <f t="shared" si="1"/>
        <v>176646</v>
      </c>
      <c r="O53" s="19">
        <v>169082</v>
      </c>
      <c r="P53" s="19">
        <f t="shared" si="2"/>
        <v>7564</v>
      </c>
    </row>
    <row r="54" spans="1:16" x14ac:dyDescent="0.25">
      <c r="A54" s="28" t="s">
        <v>28</v>
      </c>
      <c r="B54" s="29" t="s">
        <v>275</v>
      </c>
      <c r="C54" s="19">
        <f>Tasandusfond!L54</f>
        <v>2599</v>
      </c>
      <c r="D54" s="19">
        <f>Tasandusfond!M54</f>
        <v>1131</v>
      </c>
      <c r="E54" s="19">
        <v>15900</v>
      </c>
      <c r="F54" s="19">
        <v>16532</v>
      </c>
      <c r="G54" s="19">
        <v>17713.5</v>
      </c>
      <c r="H54" s="19">
        <v>22527</v>
      </c>
      <c r="I54" s="19">
        <v>3209</v>
      </c>
      <c r="J54" s="19">
        <v>1684</v>
      </c>
      <c r="K54" s="19">
        <v>731</v>
      </c>
      <c r="L54" s="19">
        <v>933.5</v>
      </c>
      <c r="M54" s="19">
        <f t="shared" si="0"/>
        <v>0</v>
      </c>
      <c r="N54" s="19">
        <f t="shared" si="1"/>
        <v>17692</v>
      </c>
      <c r="O54" s="19">
        <v>17027</v>
      </c>
      <c r="P54" s="19">
        <f t="shared" si="2"/>
        <v>665</v>
      </c>
    </row>
    <row r="55" spans="1:16" x14ac:dyDescent="0.25">
      <c r="A55" s="28" t="s">
        <v>28</v>
      </c>
      <c r="B55" s="29" t="s">
        <v>265</v>
      </c>
      <c r="C55" s="19">
        <f>Tasandusfond!L55</f>
        <v>7272</v>
      </c>
      <c r="D55" s="19">
        <f>Tasandusfond!M55</f>
        <v>2254</v>
      </c>
      <c r="E55" s="19">
        <v>32277.8</v>
      </c>
      <c r="F55" s="19">
        <v>30311</v>
      </c>
      <c r="G55" s="19">
        <v>38807</v>
      </c>
      <c r="H55" s="19">
        <v>41547</v>
      </c>
      <c r="I55" s="19">
        <v>274.80000000000291</v>
      </c>
      <c r="J55" s="19">
        <v>4288.0000000000036</v>
      </c>
      <c r="K55" s="19">
        <v>6069</v>
      </c>
      <c r="L55" s="19">
        <v>431</v>
      </c>
      <c r="M55" s="19">
        <f t="shared" si="0"/>
        <v>0</v>
      </c>
      <c r="N55" s="19">
        <f t="shared" si="1"/>
        <v>37712</v>
      </c>
      <c r="O55" s="19">
        <v>37445</v>
      </c>
      <c r="P55" s="19">
        <f t="shared" si="2"/>
        <v>267</v>
      </c>
    </row>
    <row r="56" spans="1:16" x14ac:dyDescent="0.25">
      <c r="A56" s="28" t="s">
        <v>24</v>
      </c>
      <c r="B56" s="29" t="s">
        <v>249</v>
      </c>
      <c r="C56" s="19">
        <f>Tasandusfond!L56</f>
        <v>3096</v>
      </c>
      <c r="D56" s="19">
        <f>Tasandusfond!M56</f>
        <v>1214</v>
      </c>
      <c r="E56" s="19">
        <v>18791.8</v>
      </c>
      <c r="F56" s="19">
        <v>15370.25</v>
      </c>
      <c r="G56" s="19">
        <v>27750</v>
      </c>
      <c r="H56" s="19">
        <v>17250</v>
      </c>
      <c r="I56" s="19">
        <v>1679</v>
      </c>
      <c r="J56" s="19">
        <v>278.20000000000073</v>
      </c>
      <c r="K56" s="19">
        <v>3463.9500000000007</v>
      </c>
      <c r="L56" s="19">
        <v>0</v>
      </c>
      <c r="M56" s="19">
        <f t="shared" si="0"/>
        <v>1964</v>
      </c>
      <c r="N56" s="19">
        <f t="shared" si="1"/>
        <v>17385</v>
      </c>
      <c r="O56" s="19">
        <v>19214</v>
      </c>
      <c r="P56" s="19">
        <f t="shared" si="2"/>
        <v>-1829</v>
      </c>
    </row>
    <row r="57" spans="1:16" x14ac:dyDescent="0.25">
      <c r="A57" s="28" t="s">
        <v>24</v>
      </c>
      <c r="B57" s="29" t="s">
        <v>247</v>
      </c>
      <c r="C57" s="19">
        <f>Tasandusfond!L57</f>
        <v>4512</v>
      </c>
      <c r="D57" s="19">
        <f>Tasandusfond!M57</f>
        <v>1224</v>
      </c>
      <c r="E57" s="19">
        <v>15750</v>
      </c>
      <c r="F57" s="19">
        <v>16250</v>
      </c>
      <c r="G57" s="19">
        <v>16250</v>
      </c>
      <c r="H57" s="19">
        <v>14000</v>
      </c>
      <c r="I57" s="19">
        <v>0</v>
      </c>
      <c r="J57" s="19">
        <v>3756</v>
      </c>
      <c r="K57" s="19">
        <v>3349</v>
      </c>
      <c r="L57" s="19">
        <v>5011</v>
      </c>
      <c r="M57" s="19">
        <f t="shared" si="0"/>
        <v>6703</v>
      </c>
      <c r="N57" s="19">
        <f t="shared" si="1"/>
        <v>14436</v>
      </c>
      <c r="O57" s="19">
        <v>15692</v>
      </c>
      <c r="P57" s="19">
        <f t="shared" si="2"/>
        <v>-1256</v>
      </c>
    </row>
    <row r="58" spans="1:16" x14ac:dyDescent="0.25">
      <c r="A58" s="28" t="s">
        <v>24</v>
      </c>
      <c r="B58" s="29" t="s">
        <v>243</v>
      </c>
      <c r="C58" s="19">
        <f>Tasandusfond!L58</f>
        <v>4360</v>
      </c>
      <c r="D58" s="19">
        <f>Tasandusfond!M58</f>
        <v>1740</v>
      </c>
      <c r="E58" s="19">
        <v>24955</v>
      </c>
      <c r="F58" s="19">
        <v>23250</v>
      </c>
      <c r="G58" s="19">
        <v>30500</v>
      </c>
      <c r="H58" s="19">
        <v>28500</v>
      </c>
      <c r="I58" s="19">
        <v>650</v>
      </c>
      <c r="J58" s="19">
        <v>2576</v>
      </c>
      <c r="K58" s="19">
        <v>3947</v>
      </c>
      <c r="L58" s="19">
        <v>0</v>
      </c>
      <c r="M58" s="19">
        <f t="shared" si="0"/>
        <v>0</v>
      </c>
      <c r="N58" s="19">
        <f t="shared" si="1"/>
        <v>27642</v>
      </c>
      <c r="O58" s="19">
        <v>27785</v>
      </c>
      <c r="P58" s="19">
        <f t="shared" si="2"/>
        <v>-143</v>
      </c>
    </row>
    <row r="59" spans="1:16" x14ac:dyDescent="0.25">
      <c r="A59" s="28" t="s">
        <v>24</v>
      </c>
      <c r="B59" s="29" t="s">
        <v>239</v>
      </c>
      <c r="C59" s="19">
        <f>Tasandusfond!L59</f>
        <v>7482</v>
      </c>
      <c r="D59" s="19">
        <f>Tasandusfond!M59</f>
        <v>2824</v>
      </c>
      <c r="E59" s="19">
        <v>35000</v>
      </c>
      <c r="F59" s="19">
        <v>37750</v>
      </c>
      <c r="G59" s="19">
        <v>33000</v>
      </c>
      <c r="H59" s="19">
        <v>42250</v>
      </c>
      <c r="I59" s="19">
        <v>3384</v>
      </c>
      <c r="J59" s="19">
        <v>8970</v>
      </c>
      <c r="K59" s="19">
        <v>5795</v>
      </c>
      <c r="L59" s="19">
        <v>13796</v>
      </c>
      <c r="M59" s="19">
        <f t="shared" si="0"/>
        <v>2920</v>
      </c>
      <c r="N59" s="19">
        <f t="shared" si="1"/>
        <v>42419</v>
      </c>
      <c r="O59" s="19">
        <v>31374</v>
      </c>
      <c r="P59" s="19">
        <f t="shared" si="2"/>
        <v>11045</v>
      </c>
    </row>
    <row r="60" spans="1:16" x14ac:dyDescent="0.25">
      <c r="A60" s="28" t="s">
        <v>20</v>
      </c>
      <c r="B60" s="29" t="s">
        <v>225</v>
      </c>
      <c r="C60" s="19">
        <f>Tasandusfond!L60</f>
        <v>1306</v>
      </c>
      <c r="D60" s="19">
        <f>Tasandusfond!M60</f>
        <v>497</v>
      </c>
      <c r="E60" s="19">
        <v>11550</v>
      </c>
      <c r="F60" s="19">
        <v>8750</v>
      </c>
      <c r="G60" s="19">
        <v>11200</v>
      </c>
      <c r="H60" s="19">
        <v>12250</v>
      </c>
      <c r="I60" s="19">
        <v>0</v>
      </c>
      <c r="J60" s="19">
        <v>0</v>
      </c>
      <c r="K60" s="19">
        <v>0</v>
      </c>
      <c r="L60" s="19">
        <v>0</v>
      </c>
      <c r="M60" s="19">
        <f t="shared" si="0"/>
        <v>0</v>
      </c>
      <c r="N60" s="19">
        <f t="shared" si="1"/>
        <v>7967</v>
      </c>
      <c r="O60" s="19">
        <v>7892</v>
      </c>
      <c r="P60" s="19">
        <f t="shared" si="2"/>
        <v>75</v>
      </c>
    </row>
    <row r="61" spans="1:16" x14ac:dyDescent="0.25">
      <c r="A61" s="32" t="s">
        <v>20</v>
      </c>
      <c r="B61" s="29" t="s">
        <v>215</v>
      </c>
      <c r="C61" s="19">
        <f>Tasandusfond!L61</f>
        <v>116</v>
      </c>
      <c r="D61" s="19">
        <f>Tasandusfond!M61</f>
        <v>35</v>
      </c>
      <c r="E61" s="19">
        <v>500</v>
      </c>
      <c r="F61" s="19">
        <v>0</v>
      </c>
      <c r="G61" s="19">
        <v>0</v>
      </c>
      <c r="H61" s="19">
        <v>500</v>
      </c>
      <c r="I61" s="19">
        <v>504</v>
      </c>
      <c r="J61" s="19">
        <v>65</v>
      </c>
      <c r="K61" s="19">
        <v>554</v>
      </c>
      <c r="L61" s="19">
        <v>611</v>
      </c>
      <c r="M61" s="19">
        <f t="shared" si="0"/>
        <v>115</v>
      </c>
      <c r="N61" s="19">
        <f t="shared" si="1"/>
        <v>474</v>
      </c>
      <c r="O61" s="19">
        <v>4</v>
      </c>
      <c r="P61" s="19">
        <f t="shared" si="2"/>
        <v>470</v>
      </c>
    </row>
    <row r="62" spans="1:16" x14ac:dyDescent="0.25">
      <c r="A62" s="32" t="s">
        <v>20</v>
      </c>
      <c r="B62" s="29" t="s">
        <v>597</v>
      </c>
      <c r="C62" s="19">
        <f>Tasandusfond!L62</f>
        <v>19284</v>
      </c>
      <c r="D62" s="19">
        <f>Tasandusfond!M62</f>
        <v>6883</v>
      </c>
      <c r="E62" s="19">
        <v>92226.02</v>
      </c>
      <c r="F62" s="19">
        <v>93250</v>
      </c>
      <c r="G62" s="19">
        <v>111250</v>
      </c>
      <c r="H62" s="19">
        <v>108335.26</v>
      </c>
      <c r="I62" s="19">
        <v>4839</v>
      </c>
      <c r="J62" s="19">
        <v>17931.979999999996</v>
      </c>
      <c r="K62" s="19">
        <v>16284.979999999996</v>
      </c>
      <c r="L62" s="19">
        <v>6519.9799999999959</v>
      </c>
      <c r="M62" s="19">
        <f t="shared" si="0"/>
        <v>3582.7200000000012</v>
      </c>
      <c r="N62" s="19">
        <f t="shared" si="1"/>
        <v>108152</v>
      </c>
      <c r="O62" s="19">
        <v>105398</v>
      </c>
      <c r="P62" s="19">
        <f t="shared" si="2"/>
        <v>2754</v>
      </c>
    </row>
    <row r="63" spans="1:16" x14ac:dyDescent="0.25">
      <c r="A63" s="28" t="s">
        <v>13</v>
      </c>
      <c r="B63" s="29" t="s">
        <v>598</v>
      </c>
      <c r="C63" s="19">
        <f>Tasandusfond!L63</f>
        <v>8288</v>
      </c>
      <c r="D63" s="19">
        <f>Tasandusfond!M63</f>
        <v>3151</v>
      </c>
      <c r="E63" s="19">
        <v>46230</v>
      </c>
      <c r="F63" s="19">
        <v>44960</v>
      </c>
      <c r="G63" s="19">
        <v>49715</v>
      </c>
      <c r="H63" s="19">
        <v>50654</v>
      </c>
      <c r="I63" s="19">
        <v>0</v>
      </c>
      <c r="J63" s="19">
        <v>4380</v>
      </c>
      <c r="K63" s="19">
        <v>5417</v>
      </c>
      <c r="L63" s="19">
        <v>3925</v>
      </c>
      <c r="M63" s="19">
        <f t="shared" si="0"/>
        <v>210</v>
      </c>
      <c r="N63" s="19">
        <f t="shared" si="1"/>
        <v>50308</v>
      </c>
      <c r="O63" s="19">
        <v>46939</v>
      </c>
      <c r="P63" s="19">
        <f t="shared" si="2"/>
        <v>3369</v>
      </c>
    </row>
    <row r="64" spans="1:16" x14ac:dyDescent="0.25">
      <c r="A64" s="28" t="s">
        <v>13</v>
      </c>
      <c r="B64" s="29" t="s">
        <v>198</v>
      </c>
      <c r="C64" s="19">
        <f>Tasandusfond!L64</f>
        <v>8045</v>
      </c>
      <c r="D64" s="19">
        <f>Tasandusfond!M64</f>
        <v>1525</v>
      </c>
      <c r="E64" s="19">
        <v>19190</v>
      </c>
      <c r="F64" s="19">
        <v>23421</v>
      </c>
      <c r="G64" s="19">
        <v>21721</v>
      </c>
      <c r="H64" s="19">
        <v>18670</v>
      </c>
      <c r="I64" s="19">
        <v>5104</v>
      </c>
      <c r="J64" s="19">
        <v>5604</v>
      </c>
      <c r="K64" s="19">
        <v>1917</v>
      </c>
      <c r="L64" s="19">
        <v>6347</v>
      </c>
      <c r="M64" s="19">
        <f t="shared" si="0"/>
        <v>9598</v>
      </c>
      <c r="N64" s="19">
        <f t="shared" si="1"/>
        <v>19582</v>
      </c>
      <c r="O64" s="19">
        <v>21921</v>
      </c>
      <c r="P64" s="19">
        <f t="shared" si="2"/>
        <v>-2339</v>
      </c>
    </row>
    <row r="65" spans="1:22" x14ac:dyDescent="0.25">
      <c r="A65" s="28" t="s">
        <v>13</v>
      </c>
      <c r="B65" s="29" t="s">
        <v>599</v>
      </c>
      <c r="C65" s="19">
        <f>Tasandusfond!L65</f>
        <v>3695</v>
      </c>
      <c r="D65" s="19">
        <f>Tasandusfond!M65</f>
        <v>929</v>
      </c>
      <c r="E65" s="19">
        <v>15084</v>
      </c>
      <c r="F65" s="19">
        <v>11870</v>
      </c>
      <c r="G65" s="19">
        <v>14025</v>
      </c>
      <c r="H65" s="19">
        <v>15214</v>
      </c>
      <c r="I65" s="19">
        <v>4525</v>
      </c>
      <c r="J65" s="19">
        <v>0</v>
      </c>
      <c r="K65" s="19">
        <v>2941</v>
      </c>
      <c r="L65" s="19">
        <v>2186</v>
      </c>
      <c r="M65" s="19">
        <f t="shared" si="0"/>
        <v>824</v>
      </c>
      <c r="N65" s="19">
        <f t="shared" si="1"/>
        <v>15538</v>
      </c>
      <c r="O65" s="19">
        <v>13852</v>
      </c>
      <c r="P65" s="19">
        <f t="shared" si="2"/>
        <v>1686</v>
      </c>
    </row>
    <row r="66" spans="1:22" x14ac:dyDescent="0.25">
      <c r="A66" s="28" t="s">
        <v>13</v>
      </c>
      <c r="B66" s="29" t="s">
        <v>192</v>
      </c>
      <c r="C66" s="19">
        <f>Tasandusfond!L66</f>
        <v>3584</v>
      </c>
      <c r="D66" s="19">
        <f>Tasandusfond!M66</f>
        <v>615</v>
      </c>
      <c r="E66" s="19">
        <v>14850</v>
      </c>
      <c r="F66" s="19">
        <v>13950</v>
      </c>
      <c r="G66" s="19">
        <v>10350</v>
      </c>
      <c r="H66" s="19">
        <v>9450</v>
      </c>
      <c r="I66" s="19">
        <v>0</v>
      </c>
      <c r="J66" s="19">
        <v>0</v>
      </c>
      <c r="K66" s="19">
        <v>0</v>
      </c>
      <c r="L66" s="19">
        <v>1225</v>
      </c>
      <c r="M66" s="19">
        <f t="shared" si="0"/>
        <v>2197</v>
      </c>
      <c r="N66" s="19">
        <f t="shared" si="1"/>
        <v>9969</v>
      </c>
      <c r="O66" s="19">
        <v>10422</v>
      </c>
      <c r="P66" s="19">
        <f t="shared" si="2"/>
        <v>-453</v>
      </c>
    </row>
    <row r="67" spans="1:22" x14ac:dyDescent="0.25">
      <c r="A67" s="28" t="s">
        <v>13</v>
      </c>
      <c r="B67" s="29" t="s">
        <v>186</v>
      </c>
      <c r="C67" s="19">
        <f>Tasandusfond!L67</f>
        <v>2612</v>
      </c>
      <c r="D67" s="19">
        <f>Tasandusfond!M67</f>
        <v>741</v>
      </c>
      <c r="E67" s="19">
        <v>20250</v>
      </c>
      <c r="F67" s="19">
        <v>19140</v>
      </c>
      <c r="G67" s="19">
        <v>18700</v>
      </c>
      <c r="H67" s="19">
        <v>22902</v>
      </c>
      <c r="I67" s="19">
        <v>0</v>
      </c>
      <c r="J67" s="19">
        <v>0</v>
      </c>
      <c r="K67" s="19">
        <v>0</v>
      </c>
      <c r="L67" s="19">
        <v>0</v>
      </c>
      <c r="M67" s="19">
        <f t="shared" si="0"/>
        <v>0</v>
      </c>
      <c r="N67" s="19">
        <f t="shared" si="1"/>
        <v>12658</v>
      </c>
      <c r="O67" s="19">
        <v>12775</v>
      </c>
      <c r="P67" s="19">
        <f t="shared" si="2"/>
        <v>-117</v>
      </c>
      <c r="R67" s="2"/>
      <c r="S67" s="2"/>
      <c r="T67" s="2"/>
      <c r="U67" s="2"/>
      <c r="V67" s="2"/>
    </row>
    <row r="68" spans="1:22" x14ac:dyDescent="0.25">
      <c r="A68" s="28" t="s">
        <v>13</v>
      </c>
      <c r="B68" s="29" t="s">
        <v>184</v>
      </c>
      <c r="C68" s="19">
        <f>Tasandusfond!L68</f>
        <v>3119</v>
      </c>
      <c r="D68" s="19">
        <f>Tasandusfond!M68</f>
        <v>1319</v>
      </c>
      <c r="E68" s="19">
        <v>22360</v>
      </c>
      <c r="F68" s="19">
        <v>21500</v>
      </c>
      <c r="G68" s="19">
        <v>22377</v>
      </c>
      <c r="H68" s="19">
        <v>25010</v>
      </c>
      <c r="I68" s="19">
        <v>0</v>
      </c>
      <c r="J68" s="19">
        <v>0</v>
      </c>
      <c r="K68" s="19">
        <v>0</v>
      </c>
      <c r="L68" s="19">
        <v>0</v>
      </c>
      <c r="M68" s="19">
        <f t="shared" si="0"/>
        <v>0</v>
      </c>
      <c r="N68" s="19">
        <f t="shared" si="1"/>
        <v>20736</v>
      </c>
      <c r="O68" s="19">
        <v>21159</v>
      </c>
      <c r="P68" s="19">
        <f t="shared" si="2"/>
        <v>-423</v>
      </c>
      <c r="R68" s="2"/>
      <c r="S68" s="2"/>
      <c r="T68" s="2"/>
      <c r="U68" s="2"/>
      <c r="V68" s="2"/>
    </row>
    <row r="69" spans="1:22" x14ac:dyDescent="0.25">
      <c r="A69" s="28" t="s">
        <v>13</v>
      </c>
      <c r="B69" s="29" t="s">
        <v>174</v>
      </c>
      <c r="C69" s="19">
        <f>Tasandusfond!L69</f>
        <v>7729</v>
      </c>
      <c r="D69" s="19">
        <f>Tasandusfond!M69</f>
        <v>1709</v>
      </c>
      <c r="E69" s="19">
        <v>26635</v>
      </c>
      <c r="F69" s="19">
        <v>25000</v>
      </c>
      <c r="G69" s="19">
        <v>33825</v>
      </c>
      <c r="H69" s="19">
        <v>21602</v>
      </c>
      <c r="I69" s="19">
        <v>4244</v>
      </c>
      <c r="J69" s="19">
        <v>1512</v>
      </c>
      <c r="K69" s="19">
        <v>3436</v>
      </c>
      <c r="L69" s="19">
        <v>0</v>
      </c>
      <c r="M69" s="19">
        <f t="shared" ref="M69:M82" si="3">IF(L69+O69&lt;H69,0,L69+O69-H69)</f>
        <v>8669</v>
      </c>
      <c r="N69" s="19">
        <f t="shared" ref="N69:N82" si="4">IF(N$88*(C$84*C69/C$83+D$84*D69/D$83)&lt;M69,0,ROUND(N$88*(C$84*C69/C$83+D$84*D69/D$83)-M69,0))</f>
        <v>22523</v>
      </c>
      <c r="O69" s="19">
        <v>30271</v>
      </c>
      <c r="P69" s="19">
        <f t="shared" ref="P69:P83" si="5">N69-O69</f>
        <v>-7748</v>
      </c>
      <c r="R69" s="2"/>
      <c r="S69" s="2"/>
      <c r="T69" s="2"/>
      <c r="U69" s="2"/>
      <c r="V69" s="2"/>
    </row>
    <row r="70" spans="1:22" x14ac:dyDescent="0.25">
      <c r="A70" s="28" t="s">
        <v>13</v>
      </c>
      <c r="B70" s="29" t="s">
        <v>15</v>
      </c>
      <c r="C70" s="19">
        <f>Tasandusfond!L70</f>
        <v>57219</v>
      </c>
      <c r="D70" s="19">
        <f>Tasandusfond!M70</f>
        <v>18313</v>
      </c>
      <c r="E70" s="19">
        <v>247485</v>
      </c>
      <c r="F70" s="19">
        <v>229750</v>
      </c>
      <c r="G70" s="19">
        <v>261750</v>
      </c>
      <c r="H70" s="19">
        <v>254750</v>
      </c>
      <c r="I70" s="19">
        <v>34999</v>
      </c>
      <c r="J70" s="19">
        <v>57144</v>
      </c>
      <c r="K70" s="19">
        <v>66534</v>
      </c>
      <c r="L70" s="19">
        <v>56475</v>
      </c>
      <c r="M70" s="19">
        <f t="shared" si="3"/>
        <v>49084</v>
      </c>
      <c r="N70" s="19">
        <f t="shared" si="4"/>
        <v>255131</v>
      </c>
      <c r="O70" s="19">
        <v>247359</v>
      </c>
      <c r="P70" s="19">
        <f t="shared" si="5"/>
        <v>7772</v>
      </c>
      <c r="R70" s="2"/>
      <c r="S70" s="2"/>
      <c r="T70" s="2"/>
      <c r="U70" s="2"/>
      <c r="V70" s="2"/>
    </row>
    <row r="71" spans="1:22" x14ac:dyDescent="0.25">
      <c r="A71" s="28" t="s">
        <v>10</v>
      </c>
      <c r="B71" s="29" t="s">
        <v>154</v>
      </c>
      <c r="C71" s="19">
        <f>Tasandusfond!L71</f>
        <v>3810</v>
      </c>
      <c r="D71" s="19">
        <f>Tasandusfond!M71</f>
        <v>1442</v>
      </c>
      <c r="E71" s="19">
        <v>24250</v>
      </c>
      <c r="F71" s="19">
        <v>17923.099999999999</v>
      </c>
      <c r="G71" s="19">
        <v>23937.45</v>
      </c>
      <c r="H71" s="19">
        <v>20737.3</v>
      </c>
      <c r="I71" s="19">
        <v>0</v>
      </c>
      <c r="J71" s="19">
        <v>0</v>
      </c>
      <c r="K71" s="19">
        <v>4908.9000000000015</v>
      </c>
      <c r="L71" s="19">
        <v>556.45000000000073</v>
      </c>
      <c r="M71" s="19">
        <f t="shared" si="3"/>
        <v>2596.1500000000015</v>
      </c>
      <c r="N71" s="19">
        <f t="shared" si="4"/>
        <v>20543</v>
      </c>
      <c r="O71" s="19">
        <v>22777</v>
      </c>
      <c r="P71" s="19">
        <f t="shared" si="5"/>
        <v>-2234</v>
      </c>
      <c r="R71" s="2"/>
      <c r="S71" s="2"/>
      <c r="T71" s="2"/>
      <c r="U71" s="2"/>
      <c r="V71" s="2"/>
    </row>
    <row r="72" spans="1:22" x14ac:dyDescent="0.25">
      <c r="A72" s="28" t="s">
        <v>10</v>
      </c>
      <c r="B72" s="29" t="s">
        <v>600</v>
      </c>
      <c r="C72" s="19">
        <f>Tasandusfond!L72</f>
        <v>3352</v>
      </c>
      <c r="D72" s="19">
        <f>Tasandusfond!M72</f>
        <v>1451</v>
      </c>
      <c r="E72" s="19">
        <v>24619</v>
      </c>
      <c r="F72" s="19">
        <v>26243</v>
      </c>
      <c r="G72" s="19">
        <v>33721.910000000003</v>
      </c>
      <c r="H72" s="19">
        <v>32528</v>
      </c>
      <c r="I72" s="19">
        <v>0</v>
      </c>
      <c r="J72" s="19">
        <v>0</v>
      </c>
      <c r="K72" s="19">
        <v>0</v>
      </c>
      <c r="L72" s="19">
        <v>0</v>
      </c>
      <c r="M72" s="19">
        <f t="shared" si="3"/>
        <v>0</v>
      </c>
      <c r="N72" s="19">
        <f t="shared" si="4"/>
        <v>22718</v>
      </c>
      <c r="O72" s="19">
        <v>23087</v>
      </c>
      <c r="P72" s="19">
        <f t="shared" si="5"/>
        <v>-369</v>
      </c>
      <c r="R72" s="2"/>
      <c r="S72" s="2"/>
      <c r="T72" s="2"/>
      <c r="U72" s="2"/>
      <c r="V72" s="2"/>
    </row>
    <row r="73" spans="1:22" x14ac:dyDescent="0.25">
      <c r="A73" s="28" t="s">
        <v>10</v>
      </c>
      <c r="B73" s="29" t="s">
        <v>601</v>
      </c>
      <c r="C73" s="19">
        <f>Tasandusfond!L73</f>
        <v>8784</v>
      </c>
      <c r="D73" s="19">
        <f>Tasandusfond!M73</f>
        <v>3717</v>
      </c>
      <c r="E73" s="19">
        <v>61007</v>
      </c>
      <c r="F73" s="19">
        <v>58216</v>
      </c>
      <c r="G73" s="19">
        <v>68767.95</v>
      </c>
      <c r="H73" s="19">
        <v>62106</v>
      </c>
      <c r="I73" s="19">
        <v>0</v>
      </c>
      <c r="J73" s="19">
        <v>0</v>
      </c>
      <c r="K73" s="19">
        <v>0</v>
      </c>
      <c r="L73" s="19">
        <v>0</v>
      </c>
      <c r="M73" s="19">
        <f t="shared" si="3"/>
        <v>0</v>
      </c>
      <c r="N73" s="19">
        <f t="shared" si="4"/>
        <v>58428</v>
      </c>
      <c r="O73" s="19">
        <v>58733</v>
      </c>
      <c r="P73" s="19">
        <f t="shared" si="5"/>
        <v>-305</v>
      </c>
      <c r="R73" s="2"/>
      <c r="S73" s="2"/>
      <c r="T73" s="2"/>
      <c r="U73" s="2"/>
      <c r="V73" s="2"/>
    </row>
    <row r="74" spans="1:22" x14ac:dyDescent="0.25">
      <c r="A74" s="28" t="s">
        <v>6</v>
      </c>
      <c r="B74" s="29" t="s">
        <v>602</v>
      </c>
      <c r="C74" s="19">
        <f>Tasandusfond!L74</f>
        <v>4069</v>
      </c>
      <c r="D74" s="19">
        <f>Tasandusfond!M74</f>
        <v>1956</v>
      </c>
      <c r="E74" s="19">
        <v>34500</v>
      </c>
      <c r="F74" s="19">
        <v>25858.82</v>
      </c>
      <c r="G74" s="19">
        <v>33267.4</v>
      </c>
      <c r="H74" s="19">
        <v>34036.69</v>
      </c>
      <c r="I74" s="19">
        <v>0</v>
      </c>
      <c r="J74" s="19">
        <v>0</v>
      </c>
      <c r="K74" s="19">
        <v>3075.1800000000003</v>
      </c>
      <c r="L74" s="19">
        <v>0</v>
      </c>
      <c r="M74" s="19">
        <f t="shared" si="3"/>
        <v>0</v>
      </c>
      <c r="N74" s="19">
        <f t="shared" si="4"/>
        <v>30098</v>
      </c>
      <c r="O74" s="19">
        <v>30065</v>
      </c>
      <c r="P74" s="19">
        <f t="shared" si="5"/>
        <v>33</v>
      </c>
      <c r="R74" s="2"/>
      <c r="S74" s="2"/>
      <c r="T74" s="2"/>
      <c r="U74" s="2"/>
      <c r="V74" s="2"/>
    </row>
    <row r="75" spans="1:22" x14ac:dyDescent="0.25">
      <c r="A75" s="28" t="s">
        <v>6</v>
      </c>
      <c r="B75" s="29" t="s">
        <v>603</v>
      </c>
      <c r="C75" s="19">
        <f>Tasandusfond!L75</f>
        <v>4438</v>
      </c>
      <c r="D75" s="19">
        <f>Tasandusfond!M75</f>
        <v>1919</v>
      </c>
      <c r="E75" s="19">
        <v>29297</v>
      </c>
      <c r="F75" s="19">
        <v>22864.99</v>
      </c>
      <c r="G75" s="19">
        <v>31217</v>
      </c>
      <c r="H75" s="19">
        <v>31346.01</v>
      </c>
      <c r="I75" s="19">
        <v>0</v>
      </c>
      <c r="J75" s="19">
        <v>0</v>
      </c>
      <c r="K75" s="19">
        <v>5716.0099999999984</v>
      </c>
      <c r="L75" s="19">
        <v>27.009999999998399</v>
      </c>
      <c r="M75" s="19">
        <f t="shared" si="3"/>
        <v>0</v>
      </c>
      <c r="N75" s="19">
        <f t="shared" si="4"/>
        <v>30051</v>
      </c>
      <c r="O75" s="19">
        <v>30209</v>
      </c>
      <c r="P75" s="19">
        <f t="shared" si="5"/>
        <v>-158</v>
      </c>
      <c r="R75" s="2"/>
      <c r="S75" s="2"/>
      <c r="T75" s="2"/>
      <c r="U75" s="2"/>
      <c r="V75" s="2"/>
    </row>
    <row r="76" spans="1:22" x14ac:dyDescent="0.25">
      <c r="A76" s="28" t="s">
        <v>6</v>
      </c>
      <c r="B76" s="29" t="s">
        <v>117</v>
      </c>
      <c r="C76" s="19">
        <f>Tasandusfond!L76</f>
        <v>7969</v>
      </c>
      <c r="D76" s="19">
        <f>Tasandusfond!M76</f>
        <v>3041</v>
      </c>
      <c r="E76" s="19">
        <v>49800</v>
      </c>
      <c r="F76" s="19">
        <v>54000</v>
      </c>
      <c r="G76" s="19">
        <v>57694.51</v>
      </c>
      <c r="H76" s="19">
        <v>57297.14</v>
      </c>
      <c r="I76" s="19">
        <v>0</v>
      </c>
      <c r="J76" s="19">
        <v>0</v>
      </c>
      <c r="K76" s="19">
        <v>0</v>
      </c>
      <c r="L76" s="19">
        <v>0</v>
      </c>
      <c r="M76" s="19">
        <f t="shared" si="3"/>
        <v>0</v>
      </c>
      <c r="N76" s="19">
        <f t="shared" si="4"/>
        <v>48720</v>
      </c>
      <c r="O76" s="19">
        <v>49358</v>
      </c>
      <c r="P76" s="19">
        <f t="shared" si="5"/>
        <v>-638</v>
      </c>
      <c r="R76" s="2"/>
      <c r="S76" s="2"/>
      <c r="T76" s="2"/>
      <c r="U76" s="2"/>
      <c r="V76" s="2"/>
    </row>
    <row r="77" spans="1:22" x14ac:dyDescent="0.25">
      <c r="A77" s="28" t="s">
        <v>6</v>
      </c>
      <c r="B77" s="29" t="s">
        <v>5</v>
      </c>
      <c r="C77" s="19">
        <f>Tasandusfond!L77</f>
        <v>9145</v>
      </c>
      <c r="D77" s="19">
        <f>Tasandusfond!M77</f>
        <v>4078</v>
      </c>
      <c r="E77" s="19">
        <v>53750</v>
      </c>
      <c r="F77" s="19">
        <v>50500</v>
      </c>
      <c r="G77" s="19">
        <v>52250</v>
      </c>
      <c r="H77" s="19">
        <v>54000</v>
      </c>
      <c r="I77" s="19">
        <v>1836</v>
      </c>
      <c r="J77" s="19">
        <v>10764</v>
      </c>
      <c r="K77" s="19">
        <v>12588</v>
      </c>
      <c r="L77" s="19">
        <v>14770</v>
      </c>
      <c r="M77" s="19">
        <f t="shared" si="3"/>
        <v>10002</v>
      </c>
      <c r="N77" s="19">
        <f t="shared" si="4"/>
        <v>53523</v>
      </c>
      <c r="O77" s="19">
        <v>49232</v>
      </c>
      <c r="P77" s="19">
        <f t="shared" si="5"/>
        <v>4291</v>
      </c>
      <c r="R77" s="2"/>
      <c r="S77" s="2"/>
      <c r="T77" s="2"/>
      <c r="U77" s="2"/>
      <c r="V77" s="2"/>
    </row>
    <row r="78" spans="1:22" x14ac:dyDescent="0.25">
      <c r="A78" s="28" t="s">
        <v>1</v>
      </c>
      <c r="B78" s="29" t="s">
        <v>114</v>
      </c>
      <c r="C78" s="19">
        <f>Tasandusfond!L78</f>
        <v>2554</v>
      </c>
      <c r="D78" s="19">
        <f>Tasandusfond!M78</f>
        <v>999</v>
      </c>
      <c r="E78" s="19">
        <v>17768</v>
      </c>
      <c r="F78" s="19">
        <v>15500</v>
      </c>
      <c r="G78" s="19">
        <v>18750</v>
      </c>
      <c r="H78" s="19">
        <v>20847</v>
      </c>
      <c r="I78" s="19">
        <v>0</v>
      </c>
      <c r="J78" s="19">
        <v>0</v>
      </c>
      <c r="K78" s="19">
        <v>837</v>
      </c>
      <c r="L78" s="19">
        <v>0</v>
      </c>
      <c r="M78" s="19">
        <f t="shared" si="3"/>
        <v>0</v>
      </c>
      <c r="N78" s="19">
        <f t="shared" si="4"/>
        <v>15930</v>
      </c>
      <c r="O78" s="19">
        <v>16475</v>
      </c>
      <c r="P78" s="19">
        <f t="shared" si="5"/>
        <v>-545</v>
      </c>
      <c r="R78" s="2"/>
      <c r="S78" s="2"/>
      <c r="T78" s="2"/>
      <c r="U78" s="2"/>
      <c r="V78" s="2"/>
    </row>
    <row r="79" spans="1:22" x14ac:dyDescent="0.25">
      <c r="A79" s="28" t="s">
        <v>1</v>
      </c>
      <c r="B79" s="29" t="s">
        <v>102</v>
      </c>
      <c r="C79" s="19">
        <f>Tasandusfond!L79</f>
        <v>3145</v>
      </c>
      <c r="D79" s="19">
        <f>Tasandusfond!M79</f>
        <v>1274</v>
      </c>
      <c r="E79" s="19">
        <v>24145.9</v>
      </c>
      <c r="F79" s="19">
        <v>23557</v>
      </c>
      <c r="G79" s="19">
        <v>21928</v>
      </c>
      <c r="H79" s="19">
        <v>22260</v>
      </c>
      <c r="I79" s="19">
        <v>0</v>
      </c>
      <c r="J79" s="19">
        <v>0</v>
      </c>
      <c r="K79" s="19">
        <v>0</v>
      </c>
      <c r="L79" s="19">
        <v>0</v>
      </c>
      <c r="M79" s="19">
        <f t="shared" si="3"/>
        <v>0</v>
      </c>
      <c r="N79" s="19">
        <f t="shared" si="4"/>
        <v>20184</v>
      </c>
      <c r="O79" s="19">
        <v>20216</v>
      </c>
      <c r="P79" s="19">
        <f t="shared" si="5"/>
        <v>-32</v>
      </c>
      <c r="R79" s="2"/>
      <c r="S79" s="2"/>
      <c r="T79" s="2"/>
      <c r="U79" s="2"/>
      <c r="V79" s="2"/>
    </row>
    <row r="80" spans="1:22" x14ac:dyDescent="0.25">
      <c r="A80" s="28" t="s">
        <v>1</v>
      </c>
      <c r="B80" s="29" t="s">
        <v>604</v>
      </c>
      <c r="C80" s="19">
        <f>Tasandusfond!L80</f>
        <v>1971</v>
      </c>
      <c r="D80" s="19">
        <f>Tasandusfond!M80</f>
        <v>732</v>
      </c>
      <c r="E80" s="19">
        <v>15000</v>
      </c>
      <c r="F80" s="19">
        <v>16750</v>
      </c>
      <c r="G80" s="19">
        <v>18000</v>
      </c>
      <c r="H80" s="19">
        <v>13500</v>
      </c>
      <c r="I80" s="19">
        <v>0</v>
      </c>
      <c r="J80" s="19">
        <v>0</v>
      </c>
      <c r="K80" s="19">
        <v>0</v>
      </c>
      <c r="L80" s="19">
        <v>0</v>
      </c>
      <c r="M80" s="19">
        <f t="shared" si="3"/>
        <v>0</v>
      </c>
      <c r="N80" s="19">
        <f t="shared" si="4"/>
        <v>11789</v>
      </c>
      <c r="O80" s="19">
        <v>11937</v>
      </c>
      <c r="P80" s="19">
        <f t="shared" si="5"/>
        <v>-148</v>
      </c>
      <c r="R80" s="2"/>
      <c r="S80" s="2"/>
      <c r="T80" s="2"/>
      <c r="U80" s="2"/>
      <c r="V80" s="2"/>
    </row>
    <row r="81" spans="1:22" x14ac:dyDescent="0.25">
      <c r="A81" s="28" t="s">
        <v>1</v>
      </c>
      <c r="B81" s="29" t="s">
        <v>92</v>
      </c>
      <c r="C81" s="19">
        <f>Tasandusfond!L81</f>
        <v>6354</v>
      </c>
      <c r="D81" s="19">
        <f>Tasandusfond!M81</f>
        <v>2197</v>
      </c>
      <c r="E81" s="19">
        <v>39965</v>
      </c>
      <c r="F81" s="19">
        <v>46934.400000000001</v>
      </c>
      <c r="G81" s="19">
        <v>55053</v>
      </c>
      <c r="H81" s="19">
        <v>56502</v>
      </c>
      <c r="I81" s="19">
        <v>0</v>
      </c>
      <c r="J81" s="19">
        <v>0</v>
      </c>
      <c r="K81" s="19">
        <v>0</v>
      </c>
      <c r="L81" s="19">
        <v>0</v>
      </c>
      <c r="M81" s="19">
        <f t="shared" si="3"/>
        <v>0</v>
      </c>
      <c r="N81" s="19">
        <f t="shared" si="4"/>
        <v>35898</v>
      </c>
      <c r="O81" s="19">
        <v>36096</v>
      </c>
      <c r="P81" s="19">
        <f t="shared" si="5"/>
        <v>-198</v>
      </c>
      <c r="R81" s="2"/>
      <c r="S81" s="2"/>
      <c r="T81" s="2"/>
      <c r="U81" s="2"/>
      <c r="V81" s="2"/>
    </row>
    <row r="82" spans="1:22" x14ac:dyDescent="0.25">
      <c r="A82" s="28" t="s">
        <v>1</v>
      </c>
      <c r="B82" s="29" t="s">
        <v>0</v>
      </c>
      <c r="C82" s="19">
        <f>Tasandusfond!L82</f>
        <v>6403</v>
      </c>
      <c r="D82" s="19">
        <f>Tasandusfond!M82</f>
        <v>2803</v>
      </c>
      <c r="E82" s="19">
        <v>45360</v>
      </c>
      <c r="F82" s="19">
        <v>44520</v>
      </c>
      <c r="G82" s="19">
        <v>55160</v>
      </c>
      <c r="H82" s="19">
        <v>44520</v>
      </c>
      <c r="I82" s="19">
        <v>0</v>
      </c>
      <c r="J82" s="19">
        <v>0</v>
      </c>
      <c r="K82" s="19">
        <v>0</v>
      </c>
      <c r="L82" s="19">
        <v>0</v>
      </c>
      <c r="M82" s="19">
        <f t="shared" si="3"/>
        <v>0</v>
      </c>
      <c r="N82" s="19">
        <f t="shared" si="4"/>
        <v>43801</v>
      </c>
      <c r="O82" s="19">
        <v>43977</v>
      </c>
      <c r="P82" s="19">
        <f t="shared" si="5"/>
        <v>-176</v>
      </c>
      <c r="R82" s="2"/>
      <c r="S82" s="2"/>
      <c r="T82" s="2"/>
      <c r="U82" s="2"/>
      <c r="V82" s="2"/>
    </row>
    <row r="83" spans="1:22" x14ac:dyDescent="0.25">
      <c r="A83" s="241" t="s">
        <v>512</v>
      </c>
      <c r="B83" s="241"/>
      <c r="C83" s="24">
        <f t="shared" ref="C83:H83" si="6">SUM(C4:C82)</f>
        <v>808984</v>
      </c>
      <c r="D83" s="24">
        <f t="shared" si="6"/>
        <v>275667</v>
      </c>
      <c r="E83" s="24">
        <f t="shared" si="6"/>
        <v>3798433.66</v>
      </c>
      <c r="F83" s="24">
        <f t="shared" si="6"/>
        <v>3815106.69</v>
      </c>
      <c r="G83" s="24">
        <f t="shared" si="6"/>
        <v>4484395.16</v>
      </c>
      <c r="H83" s="24">
        <f t="shared" si="6"/>
        <v>4231573.26</v>
      </c>
      <c r="I83" s="24">
        <f t="shared" ref="I83:M83" si="7">SUM(I4:I82)</f>
        <v>394765.55</v>
      </c>
      <c r="J83" s="24">
        <f t="shared" si="7"/>
        <v>748817.58</v>
      </c>
      <c r="K83" s="24">
        <f t="shared" si="7"/>
        <v>696906.02000000014</v>
      </c>
      <c r="L83" s="24">
        <f t="shared" si="7"/>
        <v>502089.93999999989</v>
      </c>
      <c r="M83" s="24">
        <f t="shared" si="7"/>
        <v>517997.80999999994</v>
      </c>
      <c r="N83" s="24">
        <f>SUM(N4:N82)</f>
        <v>4000000</v>
      </c>
      <c r="O83" s="24">
        <f>SUM(O4:O82)</f>
        <v>4000000</v>
      </c>
      <c r="P83" s="24">
        <f t="shared" si="5"/>
        <v>0</v>
      </c>
      <c r="R83" s="2"/>
      <c r="S83" s="2"/>
      <c r="T83" s="2"/>
      <c r="U83" s="2"/>
      <c r="V83" s="2"/>
    </row>
    <row r="84" spans="1:22" x14ac:dyDescent="0.25">
      <c r="C84" s="40">
        <v>0.21</v>
      </c>
      <c r="D84" s="40">
        <v>0.79</v>
      </c>
      <c r="M84" t="s">
        <v>775</v>
      </c>
      <c r="N84" s="2">
        <f>KOOND!Q86</f>
        <v>4000000</v>
      </c>
    </row>
    <row r="85" spans="1:22" x14ac:dyDescent="0.25">
      <c r="M85" t="s">
        <v>531</v>
      </c>
      <c r="N85" s="2">
        <f>N84-N83</f>
        <v>0</v>
      </c>
    </row>
    <row r="88" spans="1:22" x14ac:dyDescent="0.25">
      <c r="E88" s="40"/>
      <c r="F88" s="40"/>
      <c r="G88" s="40"/>
      <c r="H88" s="40"/>
      <c r="I88" s="40"/>
      <c r="J88" s="40"/>
      <c r="K88" s="40"/>
      <c r="L88" s="40"/>
      <c r="M88" s="40"/>
      <c r="N88" s="79">
        <v>4517993</v>
      </c>
    </row>
    <row r="93" spans="1:22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22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22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</sheetData>
  <mergeCells count="11">
    <mergeCell ref="P1:P3"/>
    <mergeCell ref="N1:N3"/>
    <mergeCell ref="C2:C3"/>
    <mergeCell ref="D2:D3"/>
    <mergeCell ref="A83:B83"/>
    <mergeCell ref="A1:A3"/>
    <mergeCell ref="B1:B3"/>
    <mergeCell ref="C1:D1"/>
    <mergeCell ref="O1:O3"/>
    <mergeCell ref="E1:H2"/>
    <mergeCell ref="I1:M2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5"/>
  <sheetViews>
    <sheetView workbookViewId="0">
      <pane xSplit="2" ySplit="3" topLeftCell="C61" activePane="bottomRight" state="frozen"/>
      <selection pane="topRight" activeCell="D1" sqref="D1"/>
      <selection pane="bottomLeft" activeCell="A4" sqref="A4"/>
      <selection pane="bottomRight" activeCell="E86" sqref="E86"/>
    </sheetView>
  </sheetViews>
  <sheetFormatPr defaultRowHeight="13.2" x14ac:dyDescent="0.25"/>
  <cols>
    <col min="1" max="1" width="9.5546875" bestFit="1" customWidth="1"/>
    <col min="2" max="2" width="19.109375" customWidth="1"/>
    <col min="3" max="3" width="16.5546875" customWidth="1"/>
    <col min="4" max="4" width="15.88671875" customWidth="1"/>
    <col min="5" max="5" width="10.109375" customWidth="1"/>
    <col min="7" max="7" width="9.6640625" bestFit="1" customWidth="1"/>
  </cols>
  <sheetData>
    <row r="1" spans="1:11" ht="32.25" customHeight="1" x14ac:dyDescent="0.25">
      <c r="A1" s="186" t="s">
        <v>511</v>
      </c>
      <c r="B1" s="186" t="s">
        <v>510</v>
      </c>
      <c r="C1" s="245" t="s">
        <v>793</v>
      </c>
      <c r="D1" s="245"/>
      <c r="E1" s="246" t="s">
        <v>776</v>
      </c>
      <c r="F1" s="245" t="s">
        <v>750</v>
      </c>
      <c r="G1" s="245" t="s">
        <v>564</v>
      </c>
      <c r="H1" s="243" t="s">
        <v>794</v>
      </c>
      <c r="I1" s="243" t="s">
        <v>795</v>
      </c>
    </row>
    <row r="2" spans="1:11" ht="36" customHeight="1" x14ac:dyDescent="0.25">
      <c r="A2" s="186"/>
      <c r="B2" s="186"/>
      <c r="C2" s="245"/>
      <c r="D2" s="245"/>
      <c r="E2" s="246"/>
      <c r="F2" s="189"/>
      <c r="G2" s="189"/>
      <c r="H2" s="244"/>
      <c r="I2" s="244"/>
    </row>
    <row r="3" spans="1:11" x14ac:dyDescent="0.25">
      <c r="A3" s="186"/>
      <c r="B3" s="186"/>
      <c r="C3" s="151" t="s">
        <v>569</v>
      </c>
      <c r="D3" s="151" t="s">
        <v>570</v>
      </c>
      <c r="E3" s="211"/>
      <c r="F3" s="189"/>
      <c r="G3" s="189"/>
      <c r="H3" s="244"/>
      <c r="I3" s="244"/>
    </row>
    <row r="4" spans="1:11" x14ac:dyDescent="0.25">
      <c r="A4" s="28" t="s">
        <v>69</v>
      </c>
      <c r="B4" s="29" t="s">
        <v>490</v>
      </c>
      <c r="C4" s="18">
        <v>19</v>
      </c>
      <c r="D4" s="18">
        <v>4</v>
      </c>
      <c r="E4" s="19">
        <f t="shared" ref="E4:E5" si="0">ROUND(($C4+$D4*$C$87)*C$88,0)</f>
        <v>12320</v>
      </c>
      <c r="F4" s="19">
        <v>13196</v>
      </c>
      <c r="G4" s="19">
        <f>E4-F4</f>
        <v>-876</v>
      </c>
      <c r="H4" s="18"/>
      <c r="I4" s="18"/>
      <c r="J4" s="2"/>
      <c r="K4" s="2"/>
    </row>
    <row r="5" spans="1:11" x14ac:dyDescent="0.25">
      <c r="A5" s="28" t="s">
        <v>69</v>
      </c>
      <c r="B5" s="29" t="s">
        <v>488</v>
      </c>
      <c r="C5" s="18">
        <v>53</v>
      </c>
      <c r="D5" s="18">
        <v>8</v>
      </c>
      <c r="E5" s="19">
        <f t="shared" si="0"/>
        <v>30601</v>
      </c>
      <c r="F5" s="19">
        <v>37639</v>
      </c>
      <c r="G5" s="19">
        <f t="shared" ref="G5:G68" si="1">E5-F5</f>
        <v>-7038</v>
      </c>
      <c r="H5" s="18"/>
      <c r="I5" s="18"/>
      <c r="J5" s="2"/>
      <c r="K5" s="2"/>
    </row>
    <row r="6" spans="1:11" x14ac:dyDescent="0.25">
      <c r="A6" s="28" t="s">
        <v>69</v>
      </c>
      <c r="B6" s="29" t="s">
        <v>486</v>
      </c>
      <c r="C6" s="18">
        <v>18</v>
      </c>
      <c r="D6" s="18">
        <v>2</v>
      </c>
      <c r="E6" s="19">
        <v>9538</v>
      </c>
      <c r="F6" s="19">
        <v>10503</v>
      </c>
      <c r="G6" s="19">
        <f t="shared" si="1"/>
        <v>-965</v>
      </c>
      <c r="H6" s="18"/>
      <c r="I6" s="18"/>
      <c r="J6" s="2"/>
      <c r="K6" s="2"/>
    </row>
    <row r="7" spans="1:11" x14ac:dyDescent="0.25">
      <c r="A7" s="28" t="s">
        <v>69</v>
      </c>
      <c r="B7" s="29" t="s">
        <v>81</v>
      </c>
      <c r="C7" s="18">
        <v>54</v>
      </c>
      <c r="D7" s="18">
        <v>6</v>
      </c>
      <c r="E7" s="19">
        <v>28614</v>
      </c>
      <c r="F7" s="19">
        <v>30794</v>
      </c>
      <c r="G7" s="19">
        <f t="shared" si="1"/>
        <v>-2180</v>
      </c>
      <c r="H7" s="18"/>
      <c r="I7" s="18"/>
      <c r="J7" s="2"/>
      <c r="K7" s="2"/>
    </row>
    <row r="8" spans="1:11" x14ac:dyDescent="0.25">
      <c r="A8" s="28" t="s">
        <v>69</v>
      </c>
      <c r="B8" s="29" t="s">
        <v>480</v>
      </c>
      <c r="C8" s="18">
        <v>26</v>
      </c>
      <c r="D8" s="18">
        <v>2</v>
      </c>
      <c r="E8" s="19">
        <v>12717</v>
      </c>
      <c r="F8" s="19">
        <v>14825</v>
      </c>
      <c r="G8" s="19">
        <f t="shared" si="1"/>
        <v>-2108</v>
      </c>
      <c r="H8" s="18"/>
      <c r="I8" s="18"/>
      <c r="J8" s="2"/>
      <c r="K8" s="2"/>
    </row>
    <row r="9" spans="1:11" x14ac:dyDescent="0.25">
      <c r="A9" s="28" t="s">
        <v>69</v>
      </c>
      <c r="B9" s="29" t="s">
        <v>478</v>
      </c>
      <c r="C9" s="18">
        <v>31</v>
      </c>
      <c r="D9" s="18">
        <v>4</v>
      </c>
      <c r="E9" s="19">
        <v>17089</v>
      </c>
      <c r="F9" s="19">
        <v>12504</v>
      </c>
      <c r="G9" s="19">
        <f t="shared" si="1"/>
        <v>4585</v>
      </c>
      <c r="H9" s="18"/>
      <c r="I9" s="18"/>
      <c r="J9" s="2"/>
      <c r="K9" s="2"/>
    </row>
    <row r="10" spans="1:11" x14ac:dyDescent="0.25">
      <c r="A10" s="28" t="s">
        <v>69</v>
      </c>
      <c r="B10" s="29" t="s">
        <v>476</v>
      </c>
      <c r="C10" s="18">
        <v>28</v>
      </c>
      <c r="D10" s="18">
        <v>2</v>
      </c>
      <c r="E10" s="19">
        <v>12320</v>
      </c>
      <c r="F10" s="19">
        <v>12124</v>
      </c>
      <c r="G10" s="19">
        <f t="shared" si="1"/>
        <v>196</v>
      </c>
      <c r="H10" s="18"/>
      <c r="I10" s="18"/>
      <c r="J10" s="2"/>
      <c r="K10" s="2"/>
    </row>
    <row r="11" spans="1:11" x14ac:dyDescent="0.25">
      <c r="A11" s="28" t="s">
        <v>69</v>
      </c>
      <c r="B11" s="29" t="s">
        <v>83</v>
      </c>
      <c r="C11" s="18">
        <v>3</v>
      </c>
      <c r="D11" s="18">
        <v>0</v>
      </c>
      <c r="E11" s="19">
        <v>1192</v>
      </c>
      <c r="F11" s="19">
        <v>0</v>
      </c>
      <c r="G11" s="19">
        <f t="shared" si="1"/>
        <v>1192</v>
      </c>
      <c r="H11" s="18"/>
      <c r="I11" s="18"/>
      <c r="J11" s="2"/>
      <c r="K11" s="2"/>
    </row>
    <row r="12" spans="1:11" x14ac:dyDescent="0.25">
      <c r="A12" s="28" t="s">
        <v>69</v>
      </c>
      <c r="B12" s="29" t="s">
        <v>605</v>
      </c>
      <c r="C12" s="18">
        <v>59</v>
      </c>
      <c r="D12" s="18">
        <v>5</v>
      </c>
      <c r="E12" s="19">
        <v>29409</v>
      </c>
      <c r="F12" s="19">
        <v>30022</v>
      </c>
      <c r="G12" s="19">
        <f t="shared" si="1"/>
        <v>-613</v>
      </c>
      <c r="H12" s="18"/>
      <c r="I12" s="18"/>
      <c r="J12" s="2"/>
      <c r="K12" s="2"/>
    </row>
    <row r="13" spans="1:11" x14ac:dyDescent="0.25">
      <c r="A13" s="28" t="s">
        <v>69</v>
      </c>
      <c r="B13" s="31" t="s">
        <v>68</v>
      </c>
      <c r="C13" s="18">
        <v>40</v>
      </c>
      <c r="D13" s="18">
        <v>3</v>
      </c>
      <c r="E13" s="19">
        <v>19474</v>
      </c>
      <c r="F13" s="19">
        <v>24867</v>
      </c>
      <c r="G13" s="19">
        <f t="shared" si="1"/>
        <v>-5393</v>
      </c>
      <c r="H13" s="18"/>
      <c r="I13" s="18"/>
      <c r="J13" s="2"/>
      <c r="K13" s="2"/>
    </row>
    <row r="14" spans="1:11" x14ac:dyDescent="0.25">
      <c r="A14" s="28" t="s">
        <v>69</v>
      </c>
      <c r="B14" s="29" t="s">
        <v>470</v>
      </c>
      <c r="C14" s="18">
        <v>22</v>
      </c>
      <c r="D14" s="18">
        <v>2</v>
      </c>
      <c r="E14" s="19">
        <v>9936</v>
      </c>
      <c r="F14" s="19">
        <v>9901</v>
      </c>
      <c r="G14" s="19">
        <f t="shared" si="1"/>
        <v>35</v>
      </c>
      <c r="H14" s="18"/>
      <c r="I14" s="18"/>
      <c r="J14" s="2"/>
      <c r="K14" s="2"/>
    </row>
    <row r="15" spans="1:11" x14ac:dyDescent="0.25">
      <c r="A15" s="28" t="s">
        <v>69</v>
      </c>
      <c r="B15" s="29" t="s">
        <v>468</v>
      </c>
      <c r="C15" s="18">
        <v>89</v>
      </c>
      <c r="D15" s="18">
        <v>10</v>
      </c>
      <c r="E15" s="19">
        <v>47293</v>
      </c>
      <c r="F15" s="19">
        <v>55120</v>
      </c>
      <c r="G15" s="19">
        <f t="shared" si="1"/>
        <v>-7827</v>
      </c>
      <c r="H15" s="18"/>
      <c r="I15" s="18"/>
      <c r="J15" s="2"/>
      <c r="K15" s="2"/>
    </row>
    <row r="16" spans="1:11" x14ac:dyDescent="0.25">
      <c r="A16" s="28" t="s">
        <v>69</v>
      </c>
      <c r="B16" s="29" t="s">
        <v>466</v>
      </c>
      <c r="C16" s="18">
        <v>39</v>
      </c>
      <c r="D16" s="18">
        <v>6</v>
      </c>
      <c r="E16" s="19">
        <v>22653</v>
      </c>
      <c r="F16" s="19">
        <v>24815</v>
      </c>
      <c r="G16" s="19">
        <f t="shared" si="1"/>
        <v>-2162</v>
      </c>
      <c r="H16" s="18"/>
      <c r="I16" s="18"/>
      <c r="J16" s="2"/>
      <c r="K16" s="2"/>
    </row>
    <row r="17" spans="1:11" x14ac:dyDescent="0.25">
      <c r="A17" s="28" t="s">
        <v>69</v>
      </c>
      <c r="B17" s="29" t="s">
        <v>464</v>
      </c>
      <c r="C17" s="18">
        <v>85</v>
      </c>
      <c r="D17" s="18">
        <v>11</v>
      </c>
      <c r="E17" s="19">
        <v>46896</v>
      </c>
      <c r="F17" s="19">
        <v>52375</v>
      </c>
      <c r="G17" s="19">
        <f t="shared" si="1"/>
        <v>-5479</v>
      </c>
      <c r="H17" s="18"/>
      <c r="I17" s="18"/>
      <c r="J17" s="2"/>
      <c r="K17" s="2"/>
    </row>
    <row r="18" spans="1:11" x14ac:dyDescent="0.25">
      <c r="A18" s="28" t="s">
        <v>69</v>
      </c>
      <c r="B18" s="29" t="s">
        <v>587</v>
      </c>
      <c r="C18" s="18">
        <v>1264</v>
      </c>
      <c r="D18" s="18">
        <v>210</v>
      </c>
      <c r="E18" s="19">
        <v>752714</v>
      </c>
      <c r="F18" s="19">
        <v>814701</v>
      </c>
      <c r="G18" s="19">
        <f t="shared" si="1"/>
        <v>-61987</v>
      </c>
      <c r="H18" s="18"/>
      <c r="I18" s="18"/>
      <c r="J18" s="2"/>
      <c r="K18" s="2"/>
    </row>
    <row r="19" spans="1:11" x14ac:dyDescent="0.25">
      <c r="A19" s="28" t="s">
        <v>69</v>
      </c>
      <c r="B19" s="29" t="s">
        <v>460</v>
      </c>
      <c r="C19" s="18">
        <v>80</v>
      </c>
      <c r="D19" s="18">
        <v>12</v>
      </c>
      <c r="E19" s="19">
        <v>46101</v>
      </c>
      <c r="F19" s="19">
        <v>53952</v>
      </c>
      <c r="G19" s="19">
        <f t="shared" si="1"/>
        <v>-7851</v>
      </c>
      <c r="H19" s="18"/>
      <c r="I19" s="18"/>
      <c r="J19" s="2"/>
      <c r="K19" s="2"/>
    </row>
    <row r="20" spans="1:11" x14ac:dyDescent="0.25">
      <c r="A20" s="28" t="s">
        <v>67</v>
      </c>
      <c r="B20" s="29" t="s">
        <v>591</v>
      </c>
      <c r="C20" s="18">
        <v>31</v>
      </c>
      <c r="D20" s="18">
        <v>4</v>
      </c>
      <c r="E20" s="19">
        <v>17089</v>
      </c>
      <c r="F20" s="19">
        <v>15733</v>
      </c>
      <c r="G20" s="19">
        <f t="shared" si="1"/>
        <v>1356</v>
      </c>
      <c r="H20" s="18"/>
      <c r="I20" s="18"/>
      <c r="J20" s="2"/>
      <c r="K20" s="2"/>
    </row>
    <row r="21" spans="1:11" x14ac:dyDescent="0.25">
      <c r="A21" s="28" t="s">
        <v>58</v>
      </c>
      <c r="B21" s="29" t="s">
        <v>592</v>
      </c>
      <c r="C21" s="18">
        <v>21</v>
      </c>
      <c r="D21" s="18">
        <v>0</v>
      </c>
      <c r="E21" s="19">
        <v>8346</v>
      </c>
      <c r="F21" s="19">
        <v>9961</v>
      </c>
      <c r="G21" s="19">
        <f t="shared" si="1"/>
        <v>-1615</v>
      </c>
      <c r="H21" s="18"/>
      <c r="I21" s="18"/>
      <c r="J21" s="2"/>
      <c r="K21" s="2"/>
    </row>
    <row r="22" spans="1:11" x14ac:dyDescent="0.25">
      <c r="A22" s="28" t="s">
        <v>58</v>
      </c>
      <c r="B22" s="29" t="s">
        <v>434</v>
      </c>
      <c r="C22" s="18">
        <v>27</v>
      </c>
      <c r="D22" s="18">
        <v>5</v>
      </c>
      <c r="E22" s="19">
        <v>16692</v>
      </c>
      <c r="F22" s="19">
        <v>20263</v>
      </c>
      <c r="G22" s="19">
        <f t="shared" si="1"/>
        <v>-3571</v>
      </c>
      <c r="H22" s="18"/>
      <c r="I22" s="18"/>
      <c r="J22" s="2"/>
      <c r="K22" s="2"/>
    </row>
    <row r="23" spans="1:11" x14ac:dyDescent="0.25">
      <c r="A23" s="28" t="s">
        <v>58</v>
      </c>
      <c r="B23" s="29" t="s">
        <v>57</v>
      </c>
      <c r="C23" s="18">
        <v>136</v>
      </c>
      <c r="D23" s="18">
        <v>15</v>
      </c>
      <c r="E23" s="19">
        <v>71933</v>
      </c>
      <c r="F23" s="19">
        <v>87552</v>
      </c>
      <c r="G23" s="19">
        <f t="shared" si="1"/>
        <v>-15619</v>
      </c>
      <c r="H23" s="18"/>
      <c r="I23" s="18"/>
      <c r="J23" s="2"/>
      <c r="K23" s="2"/>
    </row>
    <row r="24" spans="1:11" x14ac:dyDescent="0.25">
      <c r="A24" s="28" t="s">
        <v>58</v>
      </c>
      <c r="B24" s="29" t="s">
        <v>426</v>
      </c>
      <c r="C24" s="18">
        <v>33</v>
      </c>
      <c r="D24" s="18">
        <v>2</v>
      </c>
      <c r="E24" s="19">
        <v>15499</v>
      </c>
      <c r="F24" s="19">
        <v>16826</v>
      </c>
      <c r="G24" s="19">
        <f t="shared" si="1"/>
        <v>-1327</v>
      </c>
      <c r="H24" s="18"/>
      <c r="I24" s="18"/>
      <c r="J24" s="2"/>
      <c r="K24" s="2"/>
    </row>
    <row r="25" spans="1:11" x14ac:dyDescent="0.25">
      <c r="A25" s="28" t="s">
        <v>58</v>
      </c>
      <c r="B25" s="29" t="s">
        <v>59</v>
      </c>
      <c r="C25" s="18">
        <v>178</v>
      </c>
      <c r="D25" s="18">
        <v>36</v>
      </c>
      <c r="E25" s="19">
        <v>113662</v>
      </c>
      <c r="F25" s="19">
        <v>89906</v>
      </c>
      <c r="G25" s="19">
        <f t="shared" si="1"/>
        <v>23756</v>
      </c>
      <c r="H25" s="18"/>
      <c r="I25" s="18"/>
      <c r="J25" s="2"/>
      <c r="K25" s="2"/>
    </row>
    <row r="26" spans="1:11" x14ac:dyDescent="0.25">
      <c r="A26" s="28" t="s">
        <v>58</v>
      </c>
      <c r="B26" s="29" t="s">
        <v>62</v>
      </c>
      <c r="C26" s="18">
        <v>11</v>
      </c>
      <c r="D26" s="18">
        <v>0</v>
      </c>
      <c r="E26" s="19">
        <v>4372</v>
      </c>
      <c r="F26" s="19">
        <v>2424</v>
      </c>
      <c r="G26" s="19">
        <f t="shared" si="1"/>
        <v>1948</v>
      </c>
      <c r="H26" s="18"/>
      <c r="I26" s="18"/>
      <c r="J26" s="2"/>
      <c r="K26" s="2"/>
    </row>
    <row r="27" spans="1:11" x14ac:dyDescent="0.25">
      <c r="A27" s="28" t="s">
        <v>58</v>
      </c>
      <c r="B27" s="29" t="s">
        <v>61</v>
      </c>
      <c r="C27" s="18">
        <v>46</v>
      </c>
      <c r="D27" s="18">
        <v>2</v>
      </c>
      <c r="E27" s="19">
        <v>19474</v>
      </c>
      <c r="F27" s="19">
        <v>14610</v>
      </c>
      <c r="G27" s="19">
        <f t="shared" si="1"/>
        <v>4864</v>
      </c>
      <c r="H27" s="18"/>
      <c r="I27" s="18"/>
      <c r="J27" s="2"/>
      <c r="K27" s="2"/>
    </row>
    <row r="28" spans="1:11" x14ac:dyDescent="0.25">
      <c r="A28" s="28" t="s">
        <v>58</v>
      </c>
      <c r="B28" s="29" t="s">
        <v>64</v>
      </c>
      <c r="C28" s="18">
        <v>12</v>
      </c>
      <c r="D28" s="18">
        <v>0</v>
      </c>
      <c r="E28" s="19">
        <v>4769</v>
      </c>
      <c r="F28" s="19">
        <v>3203</v>
      </c>
      <c r="G28" s="19">
        <f t="shared" si="1"/>
        <v>1566</v>
      </c>
      <c r="H28" s="18"/>
      <c r="I28" s="18"/>
      <c r="J28" s="2"/>
      <c r="K28" s="2"/>
    </row>
    <row r="29" spans="1:11" x14ac:dyDescent="0.25">
      <c r="A29" s="28" t="s">
        <v>55</v>
      </c>
      <c r="B29" s="29" t="s">
        <v>409</v>
      </c>
      <c r="C29" s="18">
        <v>46</v>
      </c>
      <c r="D29" s="18">
        <v>7</v>
      </c>
      <c r="E29" s="19">
        <v>26627</v>
      </c>
      <c r="F29" s="19">
        <v>12251</v>
      </c>
      <c r="G29" s="19">
        <f t="shared" si="1"/>
        <v>14376</v>
      </c>
      <c r="H29" s="18"/>
      <c r="I29" s="18"/>
      <c r="J29" s="2"/>
      <c r="K29" s="2"/>
    </row>
    <row r="30" spans="1:11" x14ac:dyDescent="0.25">
      <c r="A30" s="28" t="s">
        <v>55</v>
      </c>
      <c r="B30" s="29" t="s">
        <v>593</v>
      </c>
      <c r="C30" s="18">
        <v>11</v>
      </c>
      <c r="D30" s="18">
        <v>4</v>
      </c>
      <c r="E30" s="19">
        <v>9141</v>
      </c>
      <c r="F30" s="19">
        <v>9618</v>
      </c>
      <c r="G30" s="19">
        <f t="shared" si="1"/>
        <v>-477</v>
      </c>
      <c r="H30" s="18"/>
      <c r="I30" s="18"/>
      <c r="J30" s="2"/>
      <c r="K30" s="2"/>
    </row>
    <row r="31" spans="1:11" x14ac:dyDescent="0.25">
      <c r="A31" s="28" t="s">
        <v>55</v>
      </c>
      <c r="B31" s="29" t="s">
        <v>397</v>
      </c>
      <c r="C31" s="18">
        <v>34</v>
      </c>
      <c r="D31" s="18">
        <v>5</v>
      </c>
      <c r="E31" s="19">
        <v>19474</v>
      </c>
      <c r="F31" s="19">
        <v>24721</v>
      </c>
      <c r="G31" s="19">
        <f t="shared" si="1"/>
        <v>-5247</v>
      </c>
      <c r="H31" s="18"/>
      <c r="I31" s="18"/>
      <c r="J31" s="2"/>
      <c r="K31" s="2"/>
    </row>
    <row r="32" spans="1:11" x14ac:dyDescent="0.25">
      <c r="A32" s="28" t="s">
        <v>52</v>
      </c>
      <c r="B32" s="29" t="s">
        <v>594</v>
      </c>
      <c r="C32" s="18">
        <v>55</v>
      </c>
      <c r="D32" s="18">
        <v>3</v>
      </c>
      <c r="E32" s="19">
        <v>25435</v>
      </c>
      <c r="F32" s="19">
        <v>23751</v>
      </c>
      <c r="G32" s="19">
        <f t="shared" si="1"/>
        <v>1684</v>
      </c>
      <c r="H32" s="18"/>
      <c r="I32" s="18"/>
      <c r="J32" s="2"/>
      <c r="K32" s="2"/>
    </row>
    <row r="33" spans="1:11" x14ac:dyDescent="0.25">
      <c r="A33" s="28" t="s">
        <v>52</v>
      </c>
      <c r="B33" s="29" t="s">
        <v>51</v>
      </c>
      <c r="C33" s="18">
        <v>61</v>
      </c>
      <c r="D33" s="18">
        <v>4</v>
      </c>
      <c r="E33" s="19">
        <v>29012</v>
      </c>
      <c r="F33" s="19">
        <v>29658</v>
      </c>
      <c r="G33" s="19">
        <f t="shared" si="1"/>
        <v>-646</v>
      </c>
      <c r="H33" s="18"/>
      <c r="I33" s="18"/>
      <c r="J33" s="2"/>
      <c r="K33" s="2"/>
    </row>
    <row r="34" spans="1:11" x14ac:dyDescent="0.25">
      <c r="A34" s="28" t="s">
        <v>52</v>
      </c>
      <c r="B34" s="29" t="s">
        <v>370</v>
      </c>
      <c r="C34" s="18">
        <v>48</v>
      </c>
      <c r="D34" s="18">
        <v>5</v>
      </c>
      <c r="E34" s="19">
        <v>25037</v>
      </c>
      <c r="F34" s="19">
        <v>29792</v>
      </c>
      <c r="G34" s="19">
        <f t="shared" si="1"/>
        <v>-4755</v>
      </c>
      <c r="H34" s="18"/>
      <c r="I34" s="18"/>
      <c r="J34" s="2"/>
      <c r="K34" s="2"/>
    </row>
    <row r="35" spans="1:11" x14ac:dyDescent="0.25">
      <c r="A35" s="28" t="s">
        <v>47</v>
      </c>
      <c r="B35" s="29" t="s">
        <v>48</v>
      </c>
      <c r="C35" s="18">
        <v>49</v>
      </c>
      <c r="D35" s="18">
        <v>7</v>
      </c>
      <c r="E35" s="19">
        <v>27819</v>
      </c>
      <c r="F35" s="19">
        <v>31597</v>
      </c>
      <c r="G35" s="19">
        <f t="shared" si="1"/>
        <v>-3778</v>
      </c>
      <c r="H35" s="18"/>
      <c r="I35" s="18"/>
      <c r="J35" s="2"/>
      <c r="K35" s="2"/>
    </row>
    <row r="36" spans="1:11" x14ac:dyDescent="0.25">
      <c r="A36" s="28" t="s">
        <v>47</v>
      </c>
      <c r="B36" s="29" t="s">
        <v>353</v>
      </c>
      <c r="C36" s="18">
        <v>22</v>
      </c>
      <c r="D36" s="18">
        <v>3</v>
      </c>
      <c r="E36" s="19">
        <v>12320</v>
      </c>
      <c r="F36" s="19">
        <v>4400</v>
      </c>
      <c r="G36" s="19">
        <f t="shared" si="1"/>
        <v>7920</v>
      </c>
      <c r="H36" s="18"/>
      <c r="I36" s="18"/>
      <c r="J36" s="2"/>
      <c r="K36" s="2"/>
    </row>
    <row r="37" spans="1:11" x14ac:dyDescent="0.25">
      <c r="A37" s="28" t="s">
        <v>47</v>
      </c>
      <c r="B37" s="29" t="s">
        <v>349</v>
      </c>
      <c r="C37" s="18">
        <v>2</v>
      </c>
      <c r="D37" s="18">
        <v>0</v>
      </c>
      <c r="E37" s="19">
        <v>397</v>
      </c>
      <c r="F37" s="19">
        <v>0</v>
      </c>
      <c r="G37" s="19">
        <f t="shared" si="1"/>
        <v>397</v>
      </c>
      <c r="H37" s="18"/>
      <c r="I37" s="18"/>
      <c r="J37" s="2"/>
      <c r="K37" s="2"/>
    </row>
    <row r="38" spans="1:11" x14ac:dyDescent="0.25">
      <c r="A38" s="28" t="s">
        <v>38</v>
      </c>
      <c r="B38" s="29" t="s">
        <v>344</v>
      </c>
      <c r="C38" s="18">
        <v>8</v>
      </c>
      <c r="D38" s="18">
        <v>0</v>
      </c>
      <c r="E38" s="19">
        <v>3179</v>
      </c>
      <c r="F38" s="19">
        <v>2568</v>
      </c>
      <c r="G38" s="19">
        <f t="shared" si="1"/>
        <v>611</v>
      </c>
      <c r="H38" s="18"/>
      <c r="I38" s="18"/>
      <c r="J38" s="2"/>
      <c r="K38" s="2"/>
    </row>
    <row r="39" spans="1:11" x14ac:dyDescent="0.25">
      <c r="A39" s="28" t="s">
        <v>38</v>
      </c>
      <c r="B39" s="29" t="s">
        <v>342</v>
      </c>
      <c r="C39" s="18">
        <v>21</v>
      </c>
      <c r="D39" s="18">
        <v>5</v>
      </c>
      <c r="E39" s="19">
        <v>14307</v>
      </c>
      <c r="F39" s="19">
        <v>6268</v>
      </c>
      <c r="G39" s="19">
        <f t="shared" si="1"/>
        <v>8039</v>
      </c>
      <c r="H39" s="18"/>
      <c r="I39" s="18"/>
      <c r="J39" s="2"/>
      <c r="K39" s="2"/>
    </row>
    <row r="40" spans="1:11" x14ac:dyDescent="0.25">
      <c r="A40" s="28" t="s">
        <v>38</v>
      </c>
      <c r="B40" s="29" t="s">
        <v>336</v>
      </c>
      <c r="C40" s="18">
        <v>27</v>
      </c>
      <c r="D40" s="18">
        <v>2</v>
      </c>
      <c r="E40" s="19">
        <v>13115</v>
      </c>
      <c r="F40" s="19">
        <v>3203</v>
      </c>
      <c r="G40" s="19">
        <f t="shared" si="1"/>
        <v>9912</v>
      </c>
      <c r="H40" s="18"/>
      <c r="I40" s="18"/>
      <c r="J40" s="2"/>
      <c r="K40" s="2"/>
    </row>
    <row r="41" spans="1:11" x14ac:dyDescent="0.25">
      <c r="A41" s="28" t="s">
        <v>38</v>
      </c>
      <c r="B41" s="29" t="s">
        <v>37</v>
      </c>
      <c r="C41" s="18">
        <v>60</v>
      </c>
      <c r="D41" s="18">
        <v>6</v>
      </c>
      <c r="E41" s="19">
        <v>30999</v>
      </c>
      <c r="F41" s="19">
        <v>36204</v>
      </c>
      <c r="G41" s="19">
        <f t="shared" si="1"/>
        <v>-5205</v>
      </c>
      <c r="H41" s="18"/>
      <c r="I41" s="18"/>
      <c r="J41" s="2"/>
      <c r="K41" s="2"/>
    </row>
    <row r="42" spans="1:11" x14ac:dyDescent="0.25">
      <c r="A42" s="28" t="s">
        <v>38</v>
      </c>
      <c r="B42" s="29" t="s">
        <v>328</v>
      </c>
      <c r="C42" s="18">
        <v>55</v>
      </c>
      <c r="D42" s="18">
        <v>5</v>
      </c>
      <c r="E42" s="19">
        <v>27819</v>
      </c>
      <c r="F42" s="19">
        <v>27701</v>
      </c>
      <c r="G42" s="19">
        <f t="shared" si="1"/>
        <v>118</v>
      </c>
      <c r="H42" s="18"/>
      <c r="I42" s="18"/>
      <c r="J42" s="2"/>
      <c r="K42" s="2"/>
    </row>
    <row r="43" spans="1:11" x14ac:dyDescent="0.25">
      <c r="A43" s="28" t="s">
        <v>38</v>
      </c>
      <c r="B43" s="29" t="s">
        <v>324</v>
      </c>
      <c r="C43" s="18">
        <v>30</v>
      </c>
      <c r="D43" s="18">
        <v>0</v>
      </c>
      <c r="E43" s="19">
        <v>11923</v>
      </c>
      <c r="F43" s="19">
        <v>8422</v>
      </c>
      <c r="G43" s="19">
        <f t="shared" si="1"/>
        <v>3501</v>
      </c>
      <c r="H43" s="18"/>
      <c r="I43" s="18"/>
      <c r="J43" s="2"/>
      <c r="K43" s="2"/>
    </row>
    <row r="44" spans="1:11" x14ac:dyDescent="0.25">
      <c r="A44" s="28" t="s">
        <v>38</v>
      </c>
      <c r="B44" s="29" t="s">
        <v>322</v>
      </c>
      <c r="C44" s="18">
        <v>28</v>
      </c>
      <c r="D44" s="18">
        <v>3</v>
      </c>
      <c r="E44" s="19">
        <v>14705</v>
      </c>
      <c r="F44" s="19">
        <v>10857</v>
      </c>
      <c r="G44" s="19">
        <f t="shared" si="1"/>
        <v>3848</v>
      </c>
      <c r="H44" s="18"/>
      <c r="I44" s="18"/>
      <c r="J44" s="2"/>
      <c r="K44" s="2"/>
    </row>
    <row r="45" spans="1:11" x14ac:dyDescent="0.25">
      <c r="A45" s="28" t="s">
        <v>38</v>
      </c>
      <c r="B45" s="29" t="s">
        <v>320</v>
      </c>
      <c r="C45" s="18">
        <v>26</v>
      </c>
      <c r="D45" s="18">
        <v>4</v>
      </c>
      <c r="E45" s="19">
        <v>15102</v>
      </c>
      <c r="F45" s="19">
        <v>10243</v>
      </c>
      <c r="G45" s="19">
        <f t="shared" si="1"/>
        <v>4859</v>
      </c>
      <c r="H45" s="18"/>
      <c r="I45" s="18"/>
      <c r="J45" s="2"/>
      <c r="K45" s="2"/>
    </row>
    <row r="46" spans="1:11" x14ac:dyDescent="0.25">
      <c r="A46" s="28" t="s">
        <v>35</v>
      </c>
      <c r="B46" s="29" t="s">
        <v>316</v>
      </c>
      <c r="C46" s="18">
        <v>17</v>
      </c>
      <c r="D46" s="18">
        <v>2</v>
      </c>
      <c r="E46" s="19">
        <v>9141</v>
      </c>
      <c r="F46" s="19">
        <v>6285</v>
      </c>
      <c r="G46" s="19">
        <f t="shared" si="1"/>
        <v>2856</v>
      </c>
      <c r="H46" s="18"/>
      <c r="I46" s="18"/>
      <c r="J46" s="2"/>
      <c r="K46" s="2"/>
    </row>
    <row r="47" spans="1:11" x14ac:dyDescent="0.25">
      <c r="A47" s="28" t="s">
        <v>35</v>
      </c>
      <c r="B47" s="29" t="s">
        <v>304</v>
      </c>
      <c r="C47" s="18">
        <v>55</v>
      </c>
      <c r="D47" s="18">
        <v>6</v>
      </c>
      <c r="E47" s="19">
        <v>29012</v>
      </c>
      <c r="F47" s="19">
        <v>29330</v>
      </c>
      <c r="G47" s="19">
        <f t="shared" si="1"/>
        <v>-318</v>
      </c>
      <c r="H47" s="18"/>
      <c r="I47" s="18"/>
      <c r="J47" s="2"/>
      <c r="K47" s="2"/>
    </row>
    <row r="48" spans="1:11" x14ac:dyDescent="0.25">
      <c r="A48" s="28" t="s">
        <v>35</v>
      </c>
      <c r="B48" s="29" t="s">
        <v>302</v>
      </c>
      <c r="C48" s="18">
        <v>28</v>
      </c>
      <c r="D48" s="18">
        <v>6</v>
      </c>
      <c r="E48" s="19">
        <v>18281</v>
      </c>
      <c r="F48" s="19">
        <v>22070</v>
      </c>
      <c r="G48" s="19">
        <f t="shared" si="1"/>
        <v>-3789</v>
      </c>
      <c r="H48" s="18"/>
      <c r="I48" s="18"/>
      <c r="J48" s="2"/>
      <c r="K48" s="2"/>
    </row>
    <row r="49" spans="1:11" x14ac:dyDescent="0.25">
      <c r="A49" s="28" t="s">
        <v>28</v>
      </c>
      <c r="B49" s="29" t="s">
        <v>283</v>
      </c>
      <c r="C49" s="18">
        <v>9</v>
      </c>
      <c r="D49" s="18">
        <v>5</v>
      </c>
      <c r="E49" s="19">
        <v>9538</v>
      </c>
      <c r="F49" s="19">
        <v>9849</v>
      </c>
      <c r="G49" s="19">
        <f t="shared" si="1"/>
        <v>-311</v>
      </c>
      <c r="H49" s="18"/>
      <c r="I49" s="18"/>
      <c r="J49" s="2"/>
      <c r="K49" s="2"/>
    </row>
    <row r="50" spans="1:11" x14ac:dyDescent="0.25">
      <c r="A50" s="28" t="s">
        <v>28</v>
      </c>
      <c r="B50" s="29" t="s">
        <v>281</v>
      </c>
      <c r="C50" s="18">
        <v>0</v>
      </c>
      <c r="D50" s="18">
        <v>0</v>
      </c>
      <c r="E50" s="19">
        <v>0</v>
      </c>
      <c r="F50" s="19">
        <v>0</v>
      </c>
      <c r="G50" s="19">
        <f t="shared" si="1"/>
        <v>0</v>
      </c>
      <c r="H50" s="18"/>
      <c r="I50" s="18"/>
      <c r="J50" s="2"/>
      <c r="K50" s="2"/>
    </row>
    <row r="51" spans="1:11" x14ac:dyDescent="0.25">
      <c r="A51" s="28" t="s">
        <v>28</v>
      </c>
      <c r="B51" s="29" t="s">
        <v>595</v>
      </c>
      <c r="C51" s="18">
        <v>22</v>
      </c>
      <c r="D51" s="18">
        <v>0</v>
      </c>
      <c r="E51" s="19">
        <v>8743</v>
      </c>
      <c r="F51" s="19">
        <v>0</v>
      </c>
      <c r="G51" s="19">
        <f t="shared" si="1"/>
        <v>8743</v>
      </c>
      <c r="H51" s="18"/>
      <c r="I51" s="18"/>
      <c r="J51" s="2"/>
      <c r="K51" s="2"/>
    </row>
    <row r="52" spans="1:11" x14ac:dyDescent="0.25">
      <c r="A52" s="28" t="s">
        <v>28</v>
      </c>
      <c r="B52" s="29" t="s">
        <v>596</v>
      </c>
      <c r="C52" s="18">
        <v>30</v>
      </c>
      <c r="D52" s="18">
        <v>0</v>
      </c>
      <c r="E52" s="19">
        <v>11923</v>
      </c>
      <c r="F52" s="19">
        <v>1911</v>
      </c>
      <c r="G52" s="19">
        <f t="shared" si="1"/>
        <v>10012</v>
      </c>
      <c r="H52" s="18"/>
      <c r="I52" s="18"/>
      <c r="J52" s="2"/>
      <c r="K52" s="2"/>
    </row>
    <row r="53" spans="1:11" x14ac:dyDescent="0.25">
      <c r="A53" s="28" t="s">
        <v>28</v>
      </c>
      <c r="B53" s="29" t="s">
        <v>30</v>
      </c>
      <c r="C53" s="18">
        <v>194</v>
      </c>
      <c r="D53" s="18">
        <v>30</v>
      </c>
      <c r="E53" s="19">
        <v>112867</v>
      </c>
      <c r="F53" s="19">
        <v>128539</v>
      </c>
      <c r="G53" s="19">
        <f t="shared" si="1"/>
        <v>-15672</v>
      </c>
      <c r="H53" s="18"/>
      <c r="I53" s="18"/>
      <c r="J53" s="2"/>
      <c r="K53" s="2"/>
    </row>
    <row r="54" spans="1:11" x14ac:dyDescent="0.25">
      <c r="A54" s="28" t="s">
        <v>28</v>
      </c>
      <c r="B54" s="29" t="s">
        <v>275</v>
      </c>
      <c r="C54" s="18">
        <v>11</v>
      </c>
      <c r="D54" s="18">
        <v>0</v>
      </c>
      <c r="E54" s="19">
        <v>4372</v>
      </c>
      <c r="F54" s="19">
        <v>3719</v>
      </c>
      <c r="G54" s="19">
        <f t="shared" si="1"/>
        <v>653</v>
      </c>
      <c r="H54" s="18"/>
      <c r="I54" s="18"/>
      <c r="J54" s="2"/>
      <c r="K54" s="2"/>
    </row>
    <row r="55" spans="1:11" x14ac:dyDescent="0.25">
      <c r="A55" s="28" t="s">
        <v>28</v>
      </c>
      <c r="B55" s="29" t="s">
        <v>265</v>
      </c>
      <c r="C55" s="18">
        <v>60</v>
      </c>
      <c r="D55" s="18">
        <v>7</v>
      </c>
      <c r="E55" s="19">
        <v>32191</v>
      </c>
      <c r="F55" s="19">
        <v>33883</v>
      </c>
      <c r="G55" s="19">
        <f t="shared" si="1"/>
        <v>-1692</v>
      </c>
      <c r="H55" s="18"/>
      <c r="I55" s="18"/>
      <c r="J55" s="2"/>
      <c r="K55" s="2"/>
    </row>
    <row r="56" spans="1:11" x14ac:dyDescent="0.25">
      <c r="A56" s="28" t="s">
        <v>24</v>
      </c>
      <c r="B56" s="29" t="s">
        <v>249</v>
      </c>
      <c r="C56" s="18">
        <v>26</v>
      </c>
      <c r="D56" s="18">
        <v>0</v>
      </c>
      <c r="E56" s="19">
        <v>10333</v>
      </c>
      <c r="F56" s="19">
        <v>6059</v>
      </c>
      <c r="G56" s="19">
        <f t="shared" si="1"/>
        <v>4274</v>
      </c>
      <c r="H56" s="18"/>
      <c r="I56" s="18"/>
      <c r="J56" s="2"/>
      <c r="K56" s="2"/>
    </row>
    <row r="57" spans="1:11" x14ac:dyDescent="0.25">
      <c r="A57" s="28" t="s">
        <v>24</v>
      </c>
      <c r="B57" s="29" t="s">
        <v>247</v>
      </c>
      <c r="C57" s="18">
        <v>29</v>
      </c>
      <c r="D57" s="18">
        <v>2</v>
      </c>
      <c r="E57" s="19">
        <v>13910</v>
      </c>
      <c r="F57" s="19">
        <v>17057</v>
      </c>
      <c r="G57" s="19">
        <f t="shared" si="1"/>
        <v>-3147</v>
      </c>
      <c r="H57" s="18"/>
      <c r="I57" s="18"/>
      <c r="J57" s="2"/>
      <c r="K57" s="2"/>
    </row>
    <row r="58" spans="1:11" x14ac:dyDescent="0.25">
      <c r="A58" s="28" t="s">
        <v>24</v>
      </c>
      <c r="B58" s="29" t="s">
        <v>243</v>
      </c>
      <c r="C58" s="18">
        <v>19</v>
      </c>
      <c r="D58" s="18">
        <v>3</v>
      </c>
      <c r="E58" s="19">
        <v>11128</v>
      </c>
      <c r="F58" s="19">
        <v>12222</v>
      </c>
      <c r="G58" s="19">
        <f t="shared" si="1"/>
        <v>-1094</v>
      </c>
      <c r="H58" s="18"/>
      <c r="I58" s="18"/>
      <c r="J58" s="2"/>
      <c r="K58" s="2"/>
    </row>
    <row r="59" spans="1:11" x14ac:dyDescent="0.25">
      <c r="A59" s="28" t="s">
        <v>24</v>
      </c>
      <c r="B59" s="29" t="s">
        <v>239</v>
      </c>
      <c r="C59" s="18">
        <v>61</v>
      </c>
      <c r="D59" s="18">
        <v>8</v>
      </c>
      <c r="E59" s="19">
        <v>33781</v>
      </c>
      <c r="F59" s="19">
        <v>37171</v>
      </c>
      <c r="G59" s="19">
        <f t="shared" si="1"/>
        <v>-3390</v>
      </c>
      <c r="H59" s="18"/>
      <c r="I59" s="18"/>
      <c r="J59" s="2"/>
      <c r="K59" s="2"/>
    </row>
    <row r="60" spans="1:11" x14ac:dyDescent="0.25">
      <c r="A60" s="28" t="s">
        <v>20</v>
      </c>
      <c r="B60" s="29" t="s">
        <v>225</v>
      </c>
      <c r="C60" s="18">
        <v>2</v>
      </c>
      <c r="D60" s="18">
        <v>0</v>
      </c>
      <c r="E60" s="19">
        <v>795</v>
      </c>
      <c r="F60" s="19">
        <v>1488</v>
      </c>
      <c r="G60" s="19">
        <f t="shared" si="1"/>
        <v>-693</v>
      </c>
      <c r="H60" s="18"/>
      <c r="I60" s="18"/>
      <c r="J60" s="2"/>
      <c r="K60" s="2"/>
    </row>
    <row r="61" spans="1:11" x14ac:dyDescent="0.25">
      <c r="A61" s="32" t="s">
        <v>20</v>
      </c>
      <c r="B61" s="29" t="s">
        <v>215</v>
      </c>
      <c r="C61" s="18">
        <v>0</v>
      </c>
      <c r="D61" s="18">
        <v>0</v>
      </c>
      <c r="E61" s="19">
        <v>0</v>
      </c>
      <c r="F61" s="19">
        <v>0</v>
      </c>
      <c r="G61" s="19">
        <f t="shared" si="1"/>
        <v>0</v>
      </c>
      <c r="H61" s="18"/>
      <c r="I61" s="18"/>
      <c r="J61" s="2"/>
      <c r="K61" s="2"/>
    </row>
    <row r="62" spans="1:11" x14ac:dyDescent="0.25">
      <c r="A62" s="32" t="s">
        <v>20</v>
      </c>
      <c r="B62" s="29" t="s">
        <v>597</v>
      </c>
      <c r="C62" s="18">
        <v>117</v>
      </c>
      <c r="D62" s="18">
        <v>11</v>
      </c>
      <c r="E62" s="19">
        <v>59613</v>
      </c>
      <c r="F62" s="19">
        <v>72291</v>
      </c>
      <c r="G62" s="19">
        <f t="shared" si="1"/>
        <v>-12678</v>
      </c>
      <c r="H62" s="18"/>
      <c r="I62" s="18"/>
      <c r="J62" s="2"/>
      <c r="K62" s="2"/>
    </row>
    <row r="63" spans="1:11" x14ac:dyDescent="0.25">
      <c r="A63" s="28" t="s">
        <v>13</v>
      </c>
      <c r="B63" s="29" t="s">
        <v>598</v>
      </c>
      <c r="C63" s="18">
        <v>83</v>
      </c>
      <c r="D63" s="18">
        <v>6</v>
      </c>
      <c r="E63" s="19">
        <v>40139</v>
      </c>
      <c r="F63" s="19">
        <v>45502</v>
      </c>
      <c r="G63" s="19">
        <f t="shared" si="1"/>
        <v>-5363</v>
      </c>
      <c r="H63" s="18"/>
      <c r="I63" s="18"/>
      <c r="J63" s="2"/>
      <c r="K63" s="2"/>
    </row>
    <row r="64" spans="1:11" x14ac:dyDescent="0.25">
      <c r="A64" s="28" t="s">
        <v>13</v>
      </c>
      <c r="B64" s="29" t="s">
        <v>198</v>
      </c>
      <c r="C64" s="18">
        <v>50</v>
      </c>
      <c r="D64" s="18">
        <v>2</v>
      </c>
      <c r="E64" s="19">
        <v>21063</v>
      </c>
      <c r="F64" s="19">
        <v>22636</v>
      </c>
      <c r="G64" s="19">
        <f t="shared" si="1"/>
        <v>-1573</v>
      </c>
      <c r="H64" s="18"/>
      <c r="I64" s="18"/>
      <c r="J64" s="2"/>
      <c r="K64" s="2"/>
    </row>
    <row r="65" spans="1:11" x14ac:dyDescent="0.25">
      <c r="A65" s="28" t="s">
        <v>13</v>
      </c>
      <c r="B65" s="29" t="s">
        <v>599</v>
      </c>
      <c r="C65" s="18">
        <v>33</v>
      </c>
      <c r="D65" s="18">
        <v>2</v>
      </c>
      <c r="E65" s="19">
        <v>15499</v>
      </c>
      <c r="F65" s="19">
        <v>10485</v>
      </c>
      <c r="G65" s="19">
        <f t="shared" si="1"/>
        <v>5014</v>
      </c>
      <c r="H65" s="18"/>
      <c r="I65" s="18"/>
      <c r="J65" s="2"/>
      <c r="K65" s="2"/>
    </row>
    <row r="66" spans="1:11" x14ac:dyDescent="0.25">
      <c r="A66" s="28" t="s">
        <v>13</v>
      </c>
      <c r="B66" s="29" t="s">
        <v>192</v>
      </c>
      <c r="C66" s="18">
        <v>26</v>
      </c>
      <c r="D66" s="18">
        <v>0</v>
      </c>
      <c r="E66" s="19">
        <v>10333</v>
      </c>
      <c r="F66" s="19">
        <v>12132</v>
      </c>
      <c r="G66" s="19">
        <f t="shared" si="1"/>
        <v>-1799</v>
      </c>
      <c r="H66" s="18"/>
      <c r="I66" s="18"/>
      <c r="J66" s="2"/>
      <c r="K66" s="2"/>
    </row>
    <row r="67" spans="1:11" x14ac:dyDescent="0.25">
      <c r="A67" s="28" t="s">
        <v>13</v>
      </c>
      <c r="B67" s="29" t="s">
        <v>186</v>
      </c>
      <c r="C67" s="18">
        <v>21</v>
      </c>
      <c r="D67" s="18">
        <v>4</v>
      </c>
      <c r="E67" s="19">
        <v>13115</v>
      </c>
      <c r="F67" s="19">
        <v>16172</v>
      </c>
      <c r="G67" s="19">
        <f t="shared" si="1"/>
        <v>-3057</v>
      </c>
      <c r="H67" s="18"/>
      <c r="I67" s="18"/>
      <c r="J67" s="2"/>
      <c r="K67" s="2"/>
    </row>
    <row r="68" spans="1:11" x14ac:dyDescent="0.25">
      <c r="A68" s="28" t="s">
        <v>13</v>
      </c>
      <c r="B68" s="29" t="s">
        <v>184</v>
      </c>
      <c r="C68" s="18">
        <v>10</v>
      </c>
      <c r="D68" s="18">
        <v>0</v>
      </c>
      <c r="E68" s="19">
        <v>3974</v>
      </c>
      <c r="F68" s="19">
        <v>0</v>
      </c>
      <c r="G68" s="19">
        <f t="shared" si="1"/>
        <v>3974</v>
      </c>
      <c r="H68" s="18"/>
      <c r="I68" s="18"/>
      <c r="J68" s="2"/>
      <c r="K68" s="2"/>
    </row>
    <row r="69" spans="1:11" x14ac:dyDescent="0.25">
      <c r="A69" s="28" t="s">
        <v>13</v>
      </c>
      <c r="B69" s="29" t="s">
        <v>174</v>
      </c>
      <c r="C69" s="18">
        <v>46</v>
      </c>
      <c r="D69" s="18">
        <v>6</v>
      </c>
      <c r="E69" s="19">
        <v>25435</v>
      </c>
      <c r="F69" s="19">
        <v>24213</v>
      </c>
      <c r="G69" s="19">
        <f t="shared" ref="G69:G82" si="2">E69-F69</f>
        <v>1222</v>
      </c>
      <c r="H69" s="18"/>
      <c r="I69" s="18"/>
      <c r="J69" s="2"/>
      <c r="K69" s="2"/>
    </row>
    <row r="70" spans="1:11" x14ac:dyDescent="0.25">
      <c r="A70" s="28" t="s">
        <v>13</v>
      </c>
      <c r="B70" s="29" t="s">
        <v>15</v>
      </c>
      <c r="C70" s="18">
        <v>453</v>
      </c>
      <c r="D70" s="18">
        <v>56</v>
      </c>
      <c r="E70" s="19">
        <v>246798</v>
      </c>
      <c r="F70" s="19">
        <v>272005</v>
      </c>
      <c r="G70" s="19">
        <f t="shared" si="2"/>
        <v>-25207</v>
      </c>
      <c r="H70" s="18"/>
      <c r="I70" s="18"/>
      <c r="J70" s="2"/>
      <c r="K70" s="2"/>
    </row>
    <row r="71" spans="1:11" x14ac:dyDescent="0.25">
      <c r="A71" s="28" t="s">
        <v>10</v>
      </c>
      <c r="B71" s="29" t="s">
        <v>154</v>
      </c>
      <c r="C71" s="18">
        <v>21</v>
      </c>
      <c r="D71" s="18">
        <v>2</v>
      </c>
      <c r="E71" s="19">
        <v>9538</v>
      </c>
      <c r="F71" s="19">
        <v>16313</v>
      </c>
      <c r="G71" s="19">
        <f t="shared" si="2"/>
        <v>-6775</v>
      </c>
      <c r="H71" s="18"/>
      <c r="I71" s="18"/>
      <c r="J71" s="2"/>
      <c r="K71" s="2"/>
    </row>
    <row r="72" spans="1:11" x14ac:dyDescent="0.25">
      <c r="A72" s="28" t="s">
        <v>10</v>
      </c>
      <c r="B72" s="29" t="s">
        <v>600</v>
      </c>
      <c r="C72" s="18">
        <v>26</v>
      </c>
      <c r="D72" s="18">
        <v>2</v>
      </c>
      <c r="E72" s="19">
        <v>12717</v>
      </c>
      <c r="F72" s="19">
        <v>14966</v>
      </c>
      <c r="G72" s="19">
        <f t="shared" si="2"/>
        <v>-2249</v>
      </c>
      <c r="H72" s="18"/>
      <c r="I72" s="18"/>
      <c r="J72" s="2"/>
      <c r="K72" s="2"/>
    </row>
    <row r="73" spans="1:11" x14ac:dyDescent="0.25">
      <c r="A73" s="28" t="s">
        <v>10</v>
      </c>
      <c r="B73" s="29" t="s">
        <v>601</v>
      </c>
      <c r="C73" s="18">
        <v>81</v>
      </c>
      <c r="D73" s="18">
        <v>10</v>
      </c>
      <c r="E73" s="19">
        <v>44114</v>
      </c>
      <c r="F73" s="19">
        <v>34678</v>
      </c>
      <c r="G73" s="19">
        <f t="shared" si="2"/>
        <v>9436</v>
      </c>
      <c r="H73" s="18"/>
      <c r="I73" s="18"/>
      <c r="J73" s="2"/>
      <c r="K73" s="2"/>
    </row>
    <row r="74" spans="1:11" x14ac:dyDescent="0.25">
      <c r="A74" s="28" t="s">
        <v>6</v>
      </c>
      <c r="B74" s="29" t="s">
        <v>602</v>
      </c>
      <c r="C74" s="18">
        <v>40</v>
      </c>
      <c r="D74" s="18">
        <v>6</v>
      </c>
      <c r="E74" s="19">
        <v>23050</v>
      </c>
      <c r="F74" s="19">
        <v>24957</v>
      </c>
      <c r="G74" s="19">
        <f t="shared" si="2"/>
        <v>-1907</v>
      </c>
      <c r="H74" s="18"/>
      <c r="I74" s="18"/>
      <c r="J74" s="2"/>
      <c r="K74" s="2"/>
    </row>
    <row r="75" spans="1:11" x14ac:dyDescent="0.25">
      <c r="A75" s="28" t="s">
        <v>6</v>
      </c>
      <c r="B75" s="29" t="s">
        <v>603</v>
      </c>
      <c r="C75" s="18">
        <v>34</v>
      </c>
      <c r="D75" s="18">
        <v>3</v>
      </c>
      <c r="E75" s="19">
        <v>17089</v>
      </c>
      <c r="F75" s="19">
        <v>0</v>
      </c>
      <c r="G75" s="19">
        <f t="shared" si="2"/>
        <v>17089</v>
      </c>
      <c r="H75" s="18"/>
      <c r="I75" s="18"/>
      <c r="J75" s="2"/>
      <c r="K75" s="2"/>
    </row>
    <row r="76" spans="1:11" x14ac:dyDescent="0.25">
      <c r="A76" s="28" t="s">
        <v>6</v>
      </c>
      <c r="B76" s="29" t="s">
        <v>117</v>
      </c>
      <c r="C76" s="18">
        <v>57</v>
      </c>
      <c r="D76" s="18">
        <v>3</v>
      </c>
      <c r="E76" s="19">
        <v>26230</v>
      </c>
      <c r="F76" s="19">
        <v>2198</v>
      </c>
      <c r="G76" s="19">
        <f t="shared" si="2"/>
        <v>24032</v>
      </c>
      <c r="H76" s="18"/>
      <c r="I76" s="18"/>
      <c r="J76" s="2"/>
      <c r="K76" s="2"/>
    </row>
    <row r="77" spans="1:11" x14ac:dyDescent="0.25">
      <c r="A77" s="28" t="s">
        <v>6</v>
      </c>
      <c r="B77" s="29" t="s">
        <v>5</v>
      </c>
      <c r="C77" s="18">
        <v>84</v>
      </c>
      <c r="D77" s="18">
        <v>5</v>
      </c>
      <c r="E77" s="19">
        <v>39345</v>
      </c>
      <c r="F77" s="19">
        <v>448</v>
      </c>
      <c r="G77" s="19">
        <f t="shared" si="2"/>
        <v>38897</v>
      </c>
      <c r="H77" s="18"/>
      <c r="I77" s="18"/>
      <c r="J77" s="2"/>
      <c r="K77" s="2"/>
    </row>
    <row r="78" spans="1:11" x14ac:dyDescent="0.25">
      <c r="A78" s="28" t="s">
        <v>1</v>
      </c>
      <c r="B78" s="29" t="s">
        <v>114</v>
      </c>
      <c r="C78" s="18">
        <v>22</v>
      </c>
      <c r="D78" s="18">
        <v>2</v>
      </c>
      <c r="E78" s="19">
        <v>9936</v>
      </c>
      <c r="F78" s="19">
        <v>1359</v>
      </c>
      <c r="G78" s="19">
        <f t="shared" si="2"/>
        <v>8577</v>
      </c>
      <c r="H78" s="18"/>
      <c r="I78" s="18"/>
      <c r="J78" s="2"/>
      <c r="K78" s="2"/>
    </row>
    <row r="79" spans="1:11" x14ac:dyDescent="0.25">
      <c r="A79" s="28" t="s">
        <v>1</v>
      </c>
      <c r="B79" s="29" t="s">
        <v>102</v>
      </c>
      <c r="C79" s="18">
        <v>14</v>
      </c>
      <c r="D79" s="18">
        <v>2</v>
      </c>
      <c r="E79" s="19">
        <v>6756</v>
      </c>
      <c r="F79" s="19">
        <v>6925</v>
      </c>
      <c r="G79" s="19">
        <f t="shared" si="2"/>
        <v>-169</v>
      </c>
      <c r="H79" s="18"/>
      <c r="I79" s="18"/>
      <c r="J79" s="2"/>
      <c r="K79" s="2"/>
    </row>
    <row r="80" spans="1:11" x14ac:dyDescent="0.25">
      <c r="A80" s="28" t="s">
        <v>1</v>
      </c>
      <c r="B80" s="29" t="s">
        <v>604</v>
      </c>
      <c r="C80" s="18">
        <v>3</v>
      </c>
      <c r="D80" s="18">
        <v>0</v>
      </c>
      <c r="E80" s="19">
        <v>1192</v>
      </c>
      <c r="F80" s="19">
        <v>0</v>
      </c>
      <c r="G80" s="19">
        <f t="shared" si="2"/>
        <v>1192</v>
      </c>
      <c r="H80" s="18"/>
      <c r="I80" s="18"/>
      <c r="J80" s="2"/>
      <c r="K80" s="2"/>
    </row>
    <row r="81" spans="1:11" x14ac:dyDescent="0.25">
      <c r="A81" s="28" t="s">
        <v>1</v>
      </c>
      <c r="B81" s="29" t="s">
        <v>92</v>
      </c>
      <c r="C81" s="18">
        <v>31</v>
      </c>
      <c r="D81" s="18">
        <v>2</v>
      </c>
      <c r="E81" s="19">
        <v>14705</v>
      </c>
      <c r="F81" s="19">
        <v>16450</v>
      </c>
      <c r="G81" s="19">
        <f t="shared" si="2"/>
        <v>-1745</v>
      </c>
      <c r="H81" s="18"/>
      <c r="I81" s="18"/>
      <c r="J81" s="2"/>
      <c r="K81" s="2"/>
    </row>
    <row r="82" spans="1:11" x14ac:dyDescent="0.25">
      <c r="A82" s="28" t="s">
        <v>1</v>
      </c>
      <c r="B82" s="29" t="s">
        <v>0</v>
      </c>
      <c r="C82" s="18">
        <v>39</v>
      </c>
      <c r="D82" s="18">
        <v>9</v>
      </c>
      <c r="E82" s="19">
        <f t="shared" ref="E82" si="3">ROUND(($C82+$D82*$C$87)*C$88,0)</f>
        <v>26230</v>
      </c>
      <c r="F82" s="19">
        <v>17617</v>
      </c>
      <c r="G82" s="19">
        <f t="shared" si="2"/>
        <v>8613</v>
      </c>
      <c r="H82" s="18"/>
      <c r="I82" s="18"/>
      <c r="J82" s="2"/>
      <c r="K82" s="2"/>
    </row>
    <row r="83" spans="1:11" x14ac:dyDescent="0.25">
      <c r="A83" s="241" t="s">
        <v>512</v>
      </c>
      <c r="B83" s="241"/>
      <c r="C83" s="24">
        <f>SUM(C4:C82)</f>
        <v>4842</v>
      </c>
      <c r="D83" s="24">
        <f>SUM(D4:D82)</f>
        <v>616</v>
      </c>
      <c r="E83" s="24">
        <f t="shared" ref="E83" si="4">SUM(E4:E82)</f>
        <v>2650000</v>
      </c>
      <c r="F83" s="24">
        <f t="shared" ref="F83" si="5">SUM(F4:F82)</f>
        <v>2650000</v>
      </c>
      <c r="G83" s="24">
        <f t="shared" ref="G83:I83" si="6">SUM(G4:G82)</f>
        <v>0</v>
      </c>
      <c r="H83" s="24">
        <f t="shared" si="6"/>
        <v>0</v>
      </c>
      <c r="I83" s="24">
        <f t="shared" si="6"/>
        <v>0</v>
      </c>
      <c r="J83" s="2"/>
      <c r="K83" s="2"/>
    </row>
    <row r="84" spans="1:11" x14ac:dyDescent="0.25">
      <c r="D84" t="s">
        <v>775</v>
      </c>
      <c r="E84" s="2">
        <f>KOOND!O86</f>
        <v>2650000</v>
      </c>
      <c r="J84" s="2"/>
      <c r="K84" s="2"/>
    </row>
    <row r="85" spans="1:11" x14ac:dyDescent="0.25">
      <c r="D85" t="s">
        <v>531</v>
      </c>
      <c r="E85" s="21">
        <f>E84-E83</f>
        <v>0</v>
      </c>
      <c r="J85" s="2"/>
      <c r="K85" s="2"/>
    </row>
    <row r="87" spans="1:11" x14ac:dyDescent="0.25">
      <c r="A87" s="82" t="s">
        <v>571</v>
      </c>
      <c r="C87" s="51">
        <v>3</v>
      </c>
    </row>
    <row r="88" spans="1:11" x14ac:dyDescent="0.25">
      <c r="A88" s="119" t="s">
        <v>828</v>
      </c>
      <c r="C88" s="52">
        <v>397.4205</v>
      </c>
      <c r="D88" s="40"/>
    </row>
    <row r="89" spans="1:11" x14ac:dyDescent="0.25">
      <c r="A89" s="119" t="s">
        <v>829</v>
      </c>
      <c r="C89" s="52">
        <f>C87*C88</f>
        <v>1192.2615000000001</v>
      </c>
    </row>
    <row r="93" spans="1:11" x14ac:dyDescent="0.25">
      <c r="C93" s="2"/>
      <c r="D93" s="2"/>
    </row>
    <row r="94" spans="1:11" x14ac:dyDescent="0.25">
      <c r="C94" s="2"/>
      <c r="D94" s="2"/>
    </row>
    <row r="95" spans="1:11" x14ac:dyDescent="0.25">
      <c r="C95" s="2"/>
      <c r="D95" s="2"/>
    </row>
  </sheetData>
  <mergeCells count="9">
    <mergeCell ref="I1:I3"/>
    <mergeCell ref="H1:H3"/>
    <mergeCell ref="A83:B83"/>
    <mergeCell ref="C1:D2"/>
    <mergeCell ref="F1:F3"/>
    <mergeCell ref="G1:G3"/>
    <mergeCell ref="A1:A3"/>
    <mergeCell ref="B1:B3"/>
    <mergeCell ref="E1:E3"/>
  </mergeCells>
  <conditionalFormatting sqref="C4:D82">
    <cfRule type="cellIs" dxfId="1" priority="1" operator="equal">
      <formula>2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159BC-75C9-4B93-88B6-8EDBD207F996}">
  <dimension ref="A1:K92"/>
  <sheetViews>
    <sheetView workbookViewId="0">
      <pane xSplit="2" ySplit="3" topLeftCell="C67" activePane="bottomRight" state="frozen"/>
      <selection pane="topRight" activeCell="D1" sqref="D1"/>
      <selection pane="bottomLeft" activeCell="A4" sqref="A4"/>
      <selection pane="bottomRight" activeCell="E86" sqref="E86"/>
    </sheetView>
  </sheetViews>
  <sheetFormatPr defaultRowHeight="13.2" x14ac:dyDescent="0.25"/>
  <cols>
    <col min="1" max="1" width="9.5546875" bestFit="1" customWidth="1"/>
    <col min="2" max="2" width="19.44140625" bestFit="1" customWidth="1"/>
    <col min="3" max="3" width="11.109375" customWidth="1"/>
    <col min="4" max="4" width="10" customWidth="1"/>
    <col min="5" max="5" width="10.6640625" customWidth="1"/>
  </cols>
  <sheetData>
    <row r="1" spans="1:8" ht="12.75" customHeight="1" x14ac:dyDescent="0.25">
      <c r="A1" s="186" t="s">
        <v>511</v>
      </c>
      <c r="B1" s="186" t="s">
        <v>510</v>
      </c>
      <c r="C1" s="242" t="s">
        <v>791</v>
      </c>
      <c r="D1" s="242"/>
      <c r="E1" s="237" t="s">
        <v>776</v>
      </c>
      <c r="H1" s="8"/>
    </row>
    <row r="2" spans="1:8" x14ac:dyDescent="0.25">
      <c r="A2" s="186"/>
      <c r="B2" s="186"/>
      <c r="C2" s="240" t="s">
        <v>824</v>
      </c>
      <c r="D2" s="240" t="s">
        <v>825</v>
      </c>
      <c r="E2" s="238"/>
    </row>
    <row r="3" spans="1:8" x14ac:dyDescent="0.25">
      <c r="A3" s="186"/>
      <c r="B3" s="186"/>
      <c r="C3" s="176"/>
      <c r="D3" s="176"/>
      <c r="E3" s="239"/>
    </row>
    <row r="4" spans="1:8" x14ac:dyDescent="0.25">
      <c r="A4" s="28" t="s">
        <v>69</v>
      </c>
      <c r="B4" s="29" t="s">
        <v>490</v>
      </c>
      <c r="C4" s="19">
        <v>1185</v>
      </c>
      <c r="D4" s="19">
        <v>182</v>
      </c>
      <c r="E4" s="19">
        <f t="shared" ref="E4:E35" si="0">ROUND(C4*D$87+D4*D$88,0)</f>
        <v>192612</v>
      </c>
    </row>
    <row r="5" spans="1:8" x14ac:dyDescent="0.25">
      <c r="A5" s="28" t="s">
        <v>69</v>
      </c>
      <c r="B5" s="29" t="s">
        <v>488</v>
      </c>
      <c r="C5" s="19">
        <v>1869</v>
      </c>
      <c r="D5" s="19">
        <v>184</v>
      </c>
      <c r="E5" s="19">
        <f t="shared" si="0"/>
        <v>257509</v>
      </c>
    </row>
    <row r="6" spans="1:8" x14ac:dyDescent="0.25">
      <c r="A6" s="28" t="s">
        <v>69</v>
      </c>
      <c r="B6" s="29" t="s">
        <v>486</v>
      </c>
      <c r="C6" s="19">
        <v>1001</v>
      </c>
      <c r="D6" s="19">
        <v>115</v>
      </c>
      <c r="E6" s="19">
        <f t="shared" si="0"/>
        <v>145306</v>
      </c>
    </row>
    <row r="7" spans="1:8" x14ac:dyDescent="0.25">
      <c r="A7" s="28" t="s">
        <v>69</v>
      </c>
      <c r="B7" s="29" t="s">
        <v>81</v>
      </c>
      <c r="C7" s="19">
        <v>1502</v>
      </c>
      <c r="D7" s="19">
        <v>239</v>
      </c>
      <c r="E7" s="19">
        <f t="shared" si="0"/>
        <v>247872</v>
      </c>
    </row>
    <row r="8" spans="1:8" x14ac:dyDescent="0.25">
      <c r="A8" s="28" t="s">
        <v>69</v>
      </c>
      <c r="B8" s="29" t="s">
        <v>480</v>
      </c>
      <c r="C8" s="19">
        <v>582</v>
      </c>
      <c r="D8" s="19">
        <v>67</v>
      </c>
      <c r="E8" s="19">
        <f t="shared" si="0"/>
        <v>84545</v>
      </c>
    </row>
    <row r="9" spans="1:8" x14ac:dyDescent="0.25">
      <c r="A9" s="28" t="s">
        <v>69</v>
      </c>
      <c r="B9" s="31" t="s">
        <v>478</v>
      </c>
      <c r="C9" s="19">
        <v>1087</v>
      </c>
      <c r="D9" s="19">
        <v>184</v>
      </c>
      <c r="E9" s="19">
        <f t="shared" si="0"/>
        <v>184341</v>
      </c>
    </row>
    <row r="10" spans="1:8" x14ac:dyDescent="0.25">
      <c r="A10" s="28" t="s">
        <v>69</v>
      </c>
      <c r="B10" s="29" t="s">
        <v>476</v>
      </c>
      <c r="C10" s="19">
        <v>1203</v>
      </c>
      <c r="D10" s="19">
        <v>173</v>
      </c>
      <c r="E10" s="19">
        <f t="shared" si="0"/>
        <v>190255</v>
      </c>
    </row>
    <row r="11" spans="1:8" x14ac:dyDescent="0.25">
      <c r="A11" s="28" t="s">
        <v>69</v>
      </c>
      <c r="B11" s="29" t="s">
        <v>83</v>
      </c>
      <c r="C11" s="19">
        <v>675</v>
      </c>
      <c r="D11" s="19">
        <v>95</v>
      </c>
      <c r="E11" s="19">
        <f t="shared" si="0"/>
        <v>105822</v>
      </c>
    </row>
    <row r="12" spans="1:8" x14ac:dyDescent="0.25">
      <c r="A12" s="28" t="s">
        <v>69</v>
      </c>
      <c r="B12" s="29" t="s">
        <v>605</v>
      </c>
      <c r="C12" s="19">
        <v>2415</v>
      </c>
      <c r="D12" s="19">
        <v>291</v>
      </c>
      <c r="E12" s="19">
        <f t="shared" si="0"/>
        <v>356650</v>
      </c>
    </row>
    <row r="13" spans="1:8" x14ac:dyDescent="0.25">
      <c r="A13" s="28" t="s">
        <v>69</v>
      </c>
      <c r="B13" s="29" t="s">
        <v>68</v>
      </c>
      <c r="C13" s="19">
        <v>3108</v>
      </c>
      <c r="D13" s="19">
        <v>297</v>
      </c>
      <c r="E13" s="19">
        <f t="shared" si="0"/>
        <v>424185</v>
      </c>
    </row>
    <row r="14" spans="1:8" x14ac:dyDescent="0.25">
      <c r="A14" s="28" t="s">
        <v>69</v>
      </c>
      <c r="B14" s="29" t="s">
        <v>470</v>
      </c>
      <c r="C14" s="19">
        <v>751</v>
      </c>
      <c r="D14" s="19">
        <v>98</v>
      </c>
      <c r="E14" s="19">
        <f t="shared" si="0"/>
        <v>114280</v>
      </c>
    </row>
    <row r="15" spans="1:8" x14ac:dyDescent="0.25">
      <c r="A15" s="28" t="s">
        <v>69</v>
      </c>
      <c r="B15" s="29" t="s">
        <v>468</v>
      </c>
      <c r="C15" s="19">
        <v>1681</v>
      </c>
      <c r="D15" s="19">
        <v>158</v>
      </c>
      <c r="E15" s="19">
        <f t="shared" si="0"/>
        <v>228242</v>
      </c>
    </row>
    <row r="16" spans="1:8" x14ac:dyDescent="0.25">
      <c r="A16" s="28" t="s">
        <v>69</v>
      </c>
      <c r="B16" s="29" t="s">
        <v>466</v>
      </c>
      <c r="C16" s="19">
        <v>1364</v>
      </c>
      <c r="D16" s="19">
        <v>197</v>
      </c>
      <c r="E16" s="19">
        <f t="shared" si="0"/>
        <v>216097</v>
      </c>
    </row>
    <row r="17" spans="1:5" x14ac:dyDescent="0.25">
      <c r="A17" s="28" t="s">
        <v>69</v>
      </c>
      <c r="B17" s="29" t="s">
        <v>464</v>
      </c>
      <c r="C17" s="19">
        <v>3124</v>
      </c>
      <c r="D17" s="19">
        <v>446</v>
      </c>
      <c r="E17" s="19">
        <f t="shared" si="0"/>
        <v>492600</v>
      </c>
    </row>
    <row r="18" spans="1:5" x14ac:dyDescent="0.25">
      <c r="A18" s="28" t="s">
        <v>69</v>
      </c>
      <c r="B18" s="29" t="s">
        <v>587</v>
      </c>
      <c r="C18" s="19">
        <v>72901</v>
      </c>
      <c r="D18" s="19">
        <v>11665</v>
      </c>
      <c r="E18" s="19">
        <f t="shared" si="0"/>
        <v>12059841</v>
      </c>
    </row>
    <row r="19" spans="1:5" x14ac:dyDescent="0.25">
      <c r="A19" s="28" t="s">
        <v>69</v>
      </c>
      <c r="B19" s="29" t="s">
        <v>460</v>
      </c>
      <c r="C19" s="19">
        <v>2812</v>
      </c>
      <c r="D19" s="19">
        <v>323</v>
      </c>
      <c r="E19" s="19">
        <f t="shared" si="0"/>
        <v>408167</v>
      </c>
    </row>
    <row r="20" spans="1:5" x14ac:dyDescent="0.25">
      <c r="A20" s="28" t="s">
        <v>67</v>
      </c>
      <c r="B20" s="29" t="s">
        <v>591</v>
      </c>
      <c r="C20" s="19">
        <v>2004</v>
      </c>
      <c r="D20" s="19">
        <v>247</v>
      </c>
      <c r="E20" s="19">
        <f t="shared" si="0"/>
        <v>298434</v>
      </c>
    </row>
    <row r="21" spans="1:5" x14ac:dyDescent="0.25">
      <c r="A21" s="28" t="s">
        <v>58</v>
      </c>
      <c r="B21" s="29" t="s">
        <v>592</v>
      </c>
      <c r="C21" s="19">
        <v>946</v>
      </c>
      <c r="D21" s="19">
        <v>169</v>
      </c>
      <c r="E21" s="19">
        <f t="shared" si="0"/>
        <v>164412</v>
      </c>
    </row>
    <row r="22" spans="1:5" x14ac:dyDescent="0.25">
      <c r="A22" s="28" t="s">
        <v>58</v>
      </c>
      <c r="B22" s="29" t="s">
        <v>434</v>
      </c>
      <c r="C22" s="19">
        <v>2518</v>
      </c>
      <c r="D22" s="19">
        <v>440</v>
      </c>
      <c r="E22" s="19">
        <f t="shared" si="0"/>
        <v>433205</v>
      </c>
    </row>
    <row r="23" spans="1:5" x14ac:dyDescent="0.25">
      <c r="A23" s="28" t="s">
        <v>58</v>
      </c>
      <c r="B23" s="29" t="s">
        <v>57</v>
      </c>
      <c r="C23" s="19">
        <v>7542</v>
      </c>
      <c r="D23" s="19">
        <v>1137</v>
      </c>
      <c r="E23" s="19">
        <f t="shared" si="0"/>
        <v>1216304</v>
      </c>
    </row>
    <row r="24" spans="1:5" x14ac:dyDescent="0.25">
      <c r="A24" s="28" t="s">
        <v>58</v>
      </c>
      <c r="B24" s="29" t="s">
        <v>426</v>
      </c>
      <c r="C24" s="19">
        <v>2068</v>
      </c>
      <c r="D24" s="19">
        <v>346</v>
      </c>
      <c r="E24" s="19">
        <f t="shared" si="0"/>
        <v>348884</v>
      </c>
    </row>
    <row r="25" spans="1:5" x14ac:dyDescent="0.25">
      <c r="A25" s="28" t="s">
        <v>58</v>
      </c>
      <c r="B25" s="29" t="s">
        <v>59</v>
      </c>
      <c r="C25" s="19">
        <v>12299</v>
      </c>
      <c r="D25" s="19">
        <v>1784</v>
      </c>
      <c r="E25" s="19">
        <f t="shared" si="0"/>
        <v>1951966</v>
      </c>
    </row>
    <row r="26" spans="1:5" x14ac:dyDescent="0.25">
      <c r="A26" s="28" t="s">
        <v>58</v>
      </c>
      <c r="B26" s="29" t="s">
        <v>62</v>
      </c>
      <c r="C26" s="19">
        <v>1102</v>
      </c>
      <c r="D26" s="19">
        <v>153</v>
      </c>
      <c r="E26" s="19">
        <f t="shared" si="0"/>
        <v>171822</v>
      </c>
    </row>
    <row r="27" spans="1:5" x14ac:dyDescent="0.25">
      <c r="A27" s="28" t="s">
        <v>58</v>
      </c>
      <c r="B27" s="29" t="s">
        <v>61</v>
      </c>
      <c r="C27" s="19">
        <v>3000</v>
      </c>
      <c r="D27" s="19">
        <v>476</v>
      </c>
      <c r="E27" s="19">
        <f t="shared" si="0"/>
        <v>494471</v>
      </c>
    </row>
    <row r="28" spans="1:5" x14ac:dyDescent="0.25">
      <c r="A28" s="28" t="s">
        <v>58</v>
      </c>
      <c r="B28" s="29" t="s">
        <v>64</v>
      </c>
      <c r="C28" s="19">
        <v>947</v>
      </c>
      <c r="D28" s="19">
        <v>136</v>
      </c>
      <c r="E28" s="19">
        <f t="shared" si="0"/>
        <v>149685</v>
      </c>
    </row>
    <row r="29" spans="1:5" x14ac:dyDescent="0.25">
      <c r="A29" s="28" t="s">
        <v>55</v>
      </c>
      <c r="B29" s="29" t="s">
        <v>409</v>
      </c>
      <c r="C29" s="19">
        <v>2812</v>
      </c>
      <c r="D29" s="19">
        <v>403</v>
      </c>
      <c r="E29" s="19">
        <f t="shared" si="0"/>
        <v>444096</v>
      </c>
    </row>
    <row r="30" spans="1:5" x14ac:dyDescent="0.25">
      <c r="A30" s="28" t="s">
        <v>55</v>
      </c>
      <c r="B30" s="29" t="s">
        <v>593</v>
      </c>
      <c r="C30" s="19">
        <v>1193</v>
      </c>
      <c r="D30" s="19">
        <v>226</v>
      </c>
      <c r="E30" s="19">
        <f t="shared" si="0"/>
        <v>213122</v>
      </c>
    </row>
    <row r="31" spans="1:5" x14ac:dyDescent="0.25">
      <c r="A31" s="28" t="s">
        <v>55</v>
      </c>
      <c r="B31" s="29" t="s">
        <v>397</v>
      </c>
      <c r="C31" s="19">
        <v>2035</v>
      </c>
      <c r="D31" s="19">
        <v>384</v>
      </c>
      <c r="E31" s="19">
        <f t="shared" si="0"/>
        <v>362863</v>
      </c>
    </row>
    <row r="32" spans="1:5" x14ac:dyDescent="0.25">
      <c r="A32" s="28" t="s">
        <v>52</v>
      </c>
      <c r="B32" s="29" t="s">
        <v>594</v>
      </c>
      <c r="C32" s="19">
        <v>1729</v>
      </c>
      <c r="D32" s="19">
        <v>260</v>
      </c>
      <c r="E32" s="19">
        <f t="shared" si="0"/>
        <v>278542</v>
      </c>
    </row>
    <row r="33" spans="1:5" x14ac:dyDescent="0.25">
      <c r="A33" s="28" t="s">
        <v>52</v>
      </c>
      <c r="B33" s="29" t="s">
        <v>51</v>
      </c>
      <c r="C33" s="19">
        <v>2170</v>
      </c>
      <c r="D33" s="19">
        <v>324</v>
      </c>
      <c r="E33" s="19">
        <f t="shared" si="0"/>
        <v>348547</v>
      </c>
    </row>
    <row r="34" spans="1:5" x14ac:dyDescent="0.25">
      <c r="A34" s="28" t="s">
        <v>52</v>
      </c>
      <c r="B34" s="29" t="s">
        <v>370</v>
      </c>
      <c r="C34" s="19">
        <v>2330</v>
      </c>
      <c r="D34" s="19">
        <v>354</v>
      </c>
      <c r="E34" s="19">
        <f t="shared" si="0"/>
        <v>376991</v>
      </c>
    </row>
    <row r="35" spans="1:5" x14ac:dyDescent="0.25">
      <c r="A35" s="28" t="s">
        <v>47</v>
      </c>
      <c r="B35" s="29" t="s">
        <v>48</v>
      </c>
      <c r="C35" s="19">
        <v>2939</v>
      </c>
      <c r="D35" s="19">
        <v>443</v>
      </c>
      <c r="E35" s="19">
        <f t="shared" si="0"/>
        <v>473943</v>
      </c>
    </row>
    <row r="36" spans="1:5" x14ac:dyDescent="0.25">
      <c r="A36" s="28" t="s">
        <v>47</v>
      </c>
      <c r="B36" s="29" t="s">
        <v>353</v>
      </c>
      <c r="C36" s="19">
        <v>1460</v>
      </c>
      <c r="D36" s="19">
        <v>181</v>
      </c>
      <c r="E36" s="19">
        <f t="shared" ref="E36:E67" si="1">ROUND(C36*D$87+D36*D$88,0)</f>
        <v>217894</v>
      </c>
    </row>
    <row r="37" spans="1:5" x14ac:dyDescent="0.25">
      <c r="A37" s="28" t="s">
        <v>47</v>
      </c>
      <c r="B37" s="29" t="s">
        <v>349</v>
      </c>
      <c r="C37" s="19">
        <v>94</v>
      </c>
      <c r="D37" s="19">
        <v>8</v>
      </c>
      <c r="E37" s="19">
        <f t="shared" si="1"/>
        <v>12388</v>
      </c>
    </row>
    <row r="38" spans="1:5" x14ac:dyDescent="0.25">
      <c r="A38" s="28" t="s">
        <v>38</v>
      </c>
      <c r="B38" s="29" t="s">
        <v>344</v>
      </c>
      <c r="C38" s="19">
        <v>898</v>
      </c>
      <c r="D38" s="19">
        <v>141</v>
      </c>
      <c r="E38" s="19">
        <f t="shared" si="1"/>
        <v>147346</v>
      </c>
    </row>
    <row r="39" spans="1:5" x14ac:dyDescent="0.25">
      <c r="A39" s="28" t="s">
        <v>38</v>
      </c>
      <c r="B39" s="29" t="s">
        <v>342</v>
      </c>
      <c r="C39" s="19">
        <v>843</v>
      </c>
      <c r="D39" s="19">
        <v>108</v>
      </c>
      <c r="E39" s="19">
        <f t="shared" si="1"/>
        <v>127379</v>
      </c>
    </row>
    <row r="40" spans="1:5" x14ac:dyDescent="0.25">
      <c r="A40" s="28" t="s">
        <v>38</v>
      </c>
      <c r="B40" s="29" t="s">
        <v>336</v>
      </c>
      <c r="C40" s="19">
        <v>986</v>
      </c>
      <c r="D40" s="19">
        <v>153</v>
      </c>
      <c r="E40" s="19">
        <f t="shared" si="1"/>
        <v>160969</v>
      </c>
    </row>
    <row r="41" spans="1:5" x14ac:dyDescent="0.25">
      <c r="A41" s="28" t="s">
        <v>38</v>
      </c>
      <c r="B41" s="29" t="s">
        <v>37</v>
      </c>
      <c r="C41" s="19">
        <v>2825</v>
      </c>
      <c r="D41" s="19">
        <v>456</v>
      </c>
      <c r="E41" s="19">
        <f t="shared" si="1"/>
        <v>469115</v>
      </c>
    </row>
    <row r="42" spans="1:5" x14ac:dyDescent="0.25">
      <c r="A42" s="28" t="s">
        <v>38</v>
      </c>
      <c r="B42" s="29" t="s">
        <v>328</v>
      </c>
      <c r="C42" s="19">
        <v>2240</v>
      </c>
      <c r="D42" s="19">
        <v>376</v>
      </c>
      <c r="E42" s="19">
        <f t="shared" si="1"/>
        <v>378451</v>
      </c>
    </row>
    <row r="43" spans="1:5" x14ac:dyDescent="0.25">
      <c r="A43" s="28" t="s">
        <v>38</v>
      </c>
      <c r="B43" s="29" t="s">
        <v>324</v>
      </c>
      <c r="C43" s="19">
        <v>1213</v>
      </c>
      <c r="D43" s="19">
        <v>186</v>
      </c>
      <c r="E43" s="19">
        <f t="shared" si="1"/>
        <v>197029</v>
      </c>
    </row>
    <row r="44" spans="1:5" x14ac:dyDescent="0.25">
      <c r="A44" s="28" t="s">
        <v>38</v>
      </c>
      <c r="B44" s="29" t="s">
        <v>322</v>
      </c>
      <c r="C44" s="19">
        <v>1275</v>
      </c>
      <c r="D44" s="19">
        <v>222</v>
      </c>
      <c r="E44" s="19">
        <f t="shared" si="1"/>
        <v>218998</v>
      </c>
    </row>
    <row r="45" spans="1:5" x14ac:dyDescent="0.25">
      <c r="A45" s="28" t="s">
        <v>38</v>
      </c>
      <c r="B45" s="29" t="s">
        <v>320</v>
      </c>
      <c r="C45" s="19">
        <v>1171</v>
      </c>
      <c r="D45" s="19">
        <v>170</v>
      </c>
      <c r="E45" s="19">
        <f t="shared" si="1"/>
        <v>185913</v>
      </c>
    </row>
    <row r="46" spans="1:5" x14ac:dyDescent="0.25">
      <c r="A46" s="28" t="s">
        <v>35</v>
      </c>
      <c r="B46" s="29" t="s">
        <v>316</v>
      </c>
      <c r="C46" s="19">
        <v>924</v>
      </c>
      <c r="D46" s="19">
        <v>161</v>
      </c>
      <c r="E46" s="19">
        <f t="shared" si="1"/>
        <v>158761</v>
      </c>
    </row>
    <row r="47" spans="1:5" x14ac:dyDescent="0.25">
      <c r="A47" s="28" t="s">
        <v>35</v>
      </c>
      <c r="B47" s="29" t="s">
        <v>304</v>
      </c>
      <c r="C47" s="19">
        <v>2739</v>
      </c>
      <c r="D47" s="19">
        <v>455</v>
      </c>
      <c r="E47" s="19">
        <f t="shared" si="1"/>
        <v>460619</v>
      </c>
    </row>
    <row r="48" spans="1:5" x14ac:dyDescent="0.25">
      <c r="A48" s="28" t="s">
        <v>35</v>
      </c>
      <c r="B48" s="29" t="s">
        <v>302</v>
      </c>
      <c r="C48" s="19">
        <v>1286</v>
      </c>
      <c r="D48" s="19">
        <v>260</v>
      </c>
      <c r="E48" s="19">
        <f t="shared" si="1"/>
        <v>237093</v>
      </c>
    </row>
    <row r="49" spans="1:5" x14ac:dyDescent="0.25">
      <c r="A49" s="28" t="s">
        <v>28</v>
      </c>
      <c r="B49" s="29" t="s">
        <v>283</v>
      </c>
      <c r="C49" s="19">
        <v>895</v>
      </c>
      <c r="D49" s="19">
        <v>126</v>
      </c>
      <c r="E49" s="19">
        <f t="shared" si="1"/>
        <v>140328</v>
      </c>
    </row>
    <row r="50" spans="1:5" x14ac:dyDescent="0.25">
      <c r="A50" s="28" t="s">
        <v>28</v>
      </c>
      <c r="B50" s="29" t="s">
        <v>281</v>
      </c>
      <c r="C50" s="19">
        <v>114</v>
      </c>
      <c r="D50" s="19">
        <v>18</v>
      </c>
      <c r="E50" s="19">
        <f t="shared" si="1"/>
        <v>18750</v>
      </c>
    </row>
    <row r="51" spans="1:5" x14ac:dyDescent="0.25">
      <c r="A51" s="28" t="s">
        <v>28</v>
      </c>
      <c r="B51" s="29" t="s">
        <v>595</v>
      </c>
      <c r="C51" s="19">
        <v>1180</v>
      </c>
      <c r="D51" s="19">
        <v>179</v>
      </c>
      <c r="E51" s="19">
        <f t="shared" si="1"/>
        <v>190797</v>
      </c>
    </row>
    <row r="52" spans="1:5" x14ac:dyDescent="0.25">
      <c r="A52" s="28" t="s">
        <v>28</v>
      </c>
      <c r="B52" s="29" t="s">
        <v>596</v>
      </c>
      <c r="C52" s="19">
        <v>1752</v>
      </c>
      <c r="D52" s="19">
        <v>256</v>
      </c>
      <c r="E52" s="19">
        <f t="shared" si="1"/>
        <v>278898</v>
      </c>
    </row>
    <row r="53" spans="1:5" x14ac:dyDescent="0.25">
      <c r="A53" s="28" t="s">
        <v>28</v>
      </c>
      <c r="B53" s="29" t="s">
        <v>30</v>
      </c>
      <c r="C53" s="19">
        <v>9917</v>
      </c>
      <c r="D53" s="19">
        <v>1796</v>
      </c>
      <c r="E53" s="19">
        <f t="shared" si="1"/>
        <v>1734485</v>
      </c>
    </row>
    <row r="54" spans="1:5" x14ac:dyDescent="0.25">
      <c r="A54" s="28" t="s">
        <v>28</v>
      </c>
      <c r="B54" s="29" t="s">
        <v>275</v>
      </c>
      <c r="C54" s="19">
        <v>977</v>
      </c>
      <c r="D54" s="19">
        <v>154</v>
      </c>
      <c r="E54" s="19">
        <f t="shared" si="1"/>
        <v>160576</v>
      </c>
    </row>
    <row r="55" spans="1:5" x14ac:dyDescent="0.25">
      <c r="A55" s="28" t="s">
        <v>28</v>
      </c>
      <c r="B55" s="29" t="s">
        <v>265</v>
      </c>
      <c r="C55" s="19">
        <v>1981</v>
      </c>
      <c r="D55" s="19">
        <v>273</v>
      </c>
      <c r="E55" s="19">
        <f t="shared" si="1"/>
        <v>307959</v>
      </c>
    </row>
    <row r="56" spans="1:5" x14ac:dyDescent="0.25">
      <c r="A56" s="28" t="s">
        <v>24</v>
      </c>
      <c r="B56" s="29" t="s">
        <v>249</v>
      </c>
      <c r="C56" s="19">
        <v>1061</v>
      </c>
      <c r="D56" s="19">
        <v>153</v>
      </c>
      <c r="E56" s="19">
        <f t="shared" si="1"/>
        <v>167986</v>
      </c>
    </row>
    <row r="57" spans="1:5" x14ac:dyDescent="0.25">
      <c r="A57" s="28" t="s">
        <v>24</v>
      </c>
      <c r="B57" s="29" t="s">
        <v>247</v>
      </c>
      <c r="C57" s="19">
        <v>1092</v>
      </c>
      <c r="D57" s="19">
        <v>132</v>
      </c>
      <c r="E57" s="19">
        <f t="shared" si="1"/>
        <v>161455</v>
      </c>
    </row>
    <row r="58" spans="1:5" x14ac:dyDescent="0.25">
      <c r="A58" s="28" t="s">
        <v>24</v>
      </c>
      <c r="B58" s="29" t="s">
        <v>243</v>
      </c>
      <c r="C58" s="19">
        <v>1522</v>
      </c>
      <c r="D58" s="19">
        <v>218</v>
      </c>
      <c r="E58" s="19">
        <f t="shared" si="1"/>
        <v>240312</v>
      </c>
    </row>
    <row r="59" spans="1:5" x14ac:dyDescent="0.25">
      <c r="A59" s="28" t="s">
        <v>24</v>
      </c>
      <c r="B59" s="29" t="s">
        <v>239</v>
      </c>
      <c r="C59" s="19">
        <v>2458</v>
      </c>
      <c r="D59" s="19">
        <v>366</v>
      </c>
      <c r="E59" s="19">
        <f t="shared" si="1"/>
        <v>394357</v>
      </c>
    </row>
    <row r="60" spans="1:5" x14ac:dyDescent="0.25">
      <c r="A60" s="28" t="s">
        <v>20</v>
      </c>
      <c r="B60" s="29" t="s">
        <v>225</v>
      </c>
      <c r="C60" s="19">
        <v>404</v>
      </c>
      <c r="D60" s="19">
        <v>93</v>
      </c>
      <c r="E60" s="19">
        <f t="shared" si="1"/>
        <v>79567</v>
      </c>
    </row>
    <row r="61" spans="1:5" x14ac:dyDescent="0.25">
      <c r="A61" s="32" t="s">
        <v>20</v>
      </c>
      <c r="B61" s="29" t="s">
        <v>215</v>
      </c>
      <c r="C61" s="19">
        <v>32</v>
      </c>
      <c r="D61" s="19">
        <v>3</v>
      </c>
      <c r="E61" s="19">
        <f t="shared" si="1"/>
        <v>4341</v>
      </c>
    </row>
    <row r="62" spans="1:5" x14ac:dyDescent="0.25">
      <c r="A62" s="32" t="s">
        <v>20</v>
      </c>
      <c r="B62" s="29" t="s">
        <v>597</v>
      </c>
      <c r="C62" s="19">
        <v>5928</v>
      </c>
      <c r="D62" s="19">
        <v>955</v>
      </c>
      <c r="E62" s="19">
        <f t="shared" si="1"/>
        <v>983553</v>
      </c>
    </row>
    <row r="63" spans="1:5" x14ac:dyDescent="0.25">
      <c r="A63" s="28" t="s">
        <v>13</v>
      </c>
      <c r="B63" s="29" t="s">
        <v>598</v>
      </c>
      <c r="C63" s="19">
        <v>2646</v>
      </c>
      <c r="D63" s="19">
        <v>505</v>
      </c>
      <c r="E63" s="19">
        <f t="shared" si="1"/>
        <v>474373</v>
      </c>
    </row>
    <row r="64" spans="1:5" x14ac:dyDescent="0.25">
      <c r="A64" s="28" t="s">
        <v>13</v>
      </c>
      <c r="B64" s="29" t="s">
        <v>198</v>
      </c>
      <c r="C64" s="19">
        <v>1343</v>
      </c>
      <c r="D64" s="19">
        <v>182</v>
      </c>
      <c r="E64" s="19">
        <f t="shared" si="1"/>
        <v>207396</v>
      </c>
    </row>
    <row r="65" spans="1:11" x14ac:dyDescent="0.25">
      <c r="A65" s="28" t="s">
        <v>13</v>
      </c>
      <c r="B65" s="29" t="s">
        <v>599</v>
      </c>
      <c r="C65" s="19">
        <v>800</v>
      </c>
      <c r="D65" s="19">
        <v>129</v>
      </c>
      <c r="E65" s="19">
        <f t="shared" si="1"/>
        <v>132787</v>
      </c>
    </row>
    <row r="66" spans="1:11" x14ac:dyDescent="0.25">
      <c r="A66" s="28" t="s">
        <v>13</v>
      </c>
      <c r="B66" s="29" t="s">
        <v>192</v>
      </c>
      <c r="C66" s="19">
        <v>531</v>
      </c>
      <c r="D66" s="19">
        <v>84</v>
      </c>
      <c r="E66" s="19">
        <f t="shared" si="1"/>
        <v>87408</v>
      </c>
    </row>
    <row r="67" spans="1:11" x14ac:dyDescent="0.25">
      <c r="A67" s="28" t="s">
        <v>13</v>
      </c>
      <c r="B67" s="29" t="s">
        <v>186</v>
      </c>
      <c r="C67" s="19">
        <v>648</v>
      </c>
      <c r="D67" s="19">
        <v>93</v>
      </c>
      <c r="E67" s="19">
        <f t="shared" si="1"/>
        <v>102397</v>
      </c>
      <c r="G67" s="2"/>
      <c r="H67" s="2"/>
      <c r="I67" s="2"/>
      <c r="J67" s="2"/>
      <c r="K67" s="2"/>
    </row>
    <row r="68" spans="1:11" x14ac:dyDescent="0.25">
      <c r="A68" s="28" t="s">
        <v>13</v>
      </c>
      <c r="B68" s="29" t="s">
        <v>184</v>
      </c>
      <c r="C68" s="19">
        <v>1108</v>
      </c>
      <c r="D68" s="19">
        <v>211</v>
      </c>
      <c r="E68" s="19">
        <f t="shared" ref="E68:E82" si="2">ROUND(C68*D$87+D68*D$88,0)</f>
        <v>198432</v>
      </c>
      <c r="G68" s="2"/>
      <c r="H68" s="2"/>
      <c r="I68" s="2"/>
      <c r="J68" s="2"/>
      <c r="K68" s="2"/>
    </row>
    <row r="69" spans="1:11" x14ac:dyDescent="0.25">
      <c r="A69" s="28" t="s">
        <v>13</v>
      </c>
      <c r="B69" s="29" t="s">
        <v>174</v>
      </c>
      <c r="C69" s="19">
        <v>1502</v>
      </c>
      <c r="D69" s="19">
        <v>207</v>
      </c>
      <c r="E69" s="19">
        <f t="shared" si="2"/>
        <v>233500</v>
      </c>
      <c r="G69" s="2"/>
      <c r="H69" s="2"/>
      <c r="I69" s="2"/>
      <c r="J69" s="2"/>
      <c r="K69" s="2"/>
    </row>
    <row r="70" spans="1:11" x14ac:dyDescent="0.25">
      <c r="A70" s="28" t="s">
        <v>13</v>
      </c>
      <c r="B70" s="29" t="s">
        <v>15</v>
      </c>
      <c r="C70" s="19">
        <v>15283</v>
      </c>
      <c r="D70" s="19">
        <v>3030</v>
      </c>
      <c r="E70" s="19">
        <f t="shared" si="2"/>
        <v>2790756</v>
      </c>
      <c r="G70" s="2"/>
      <c r="H70" s="2"/>
      <c r="I70" s="2"/>
      <c r="J70" s="2"/>
      <c r="K70" s="2"/>
    </row>
    <row r="71" spans="1:11" x14ac:dyDescent="0.25">
      <c r="A71" s="28" t="s">
        <v>10</v>
      </c>
      <c r="B71" s="29" t="s">
        <v>154</v>
      </c>
      <c r="C71" s="19">
        <v>1230</v>
      </c>
      <c r="D71" s="19">
        <v>212</v>
      </c>
      <c r="E71" s="19">
        <f t="shared" si="2"/>
        <v>210296</v>
      </c>
      <c r="G71" s="2"/>
      <c r="H71" s="2"/>
      <c r="I71" s="2"/>
      <c r="J71" s="2"/>
      <c r="K71" s="2"/>
    </row>
    <row r="72" spans="1:11" x14ac:dyDescent="0.25">
      <c r="A72" s="28" t="s">
        <v>10</v>
      </c>
      <c r="B72" s="29" t="s">
        <v>600</v>
      </c>
      <c r="C72" s="19">
        <v>1231</v>
      </c>
      <c r="D72" s="19">
        <v>220</v>
      </c>
      <c r="E72" s="19">
        <f t="shared" si="2"/>
        <v>213983</v>
      </c>
      <c r="G72" s="2"/>
      <c r="H72" s="2"/>
      <c r="I72" s="2"/>
      <c r="J72" s="2"/>
      <c r="K72" s="2"/>
    </row>
    <row r="73" spans="1:11" x14ac:dyDescent="0.25">
      <c r="A73" s="28" t="s">
        <v>10</v>
      </c>
      <c r="B73" s="29" t="s">
        <v>601</v>
      </c>
      <c r="C73" s="19">
        <v>3242</v>
      </c>
      <c r="D73" s="19">
        <v>475</v>
      </c>
      <c r="E73" s="19">
        <f t="shared" si="2"/>
        <v>516665</v>
      </c>
      <c r="G73" s="2"/>
      <c r="H73" s="2"/>
      <c r="I73" s="2"/>
      <c r="J73" s="2"/>
      <c r="K73" s="2"/>
    </row>
    <row r="74" spans="1:11" x14ac:dyDescent="0.25">
      <c r="A74" s="28" t="s">
        <v>6</v>
      </c>
      <c r="B74" s="29" t="s">
        <v>602</v>
      </c>
      <c r="C74" s="19">
        <v>1648</v>
      </c>
      <c r="D74" s="19">
        <v>308</v>
      </c>
      <c r="E74" s="19">
        <f t="shared" si="2"/>
        <v>292521</v>
      </c>
      <c r="G74" s="2"/>
      <c r="H74" s="2"/>
      <c r="I74" s="2"/>
      <c r="J74" s="2"/>
      <c r="K74" s="2"/>
    </row>
    <row r="75" spans="1:11" x14ac:dyDescent="0.25">
      <c r="A75" s="28" t="s">
        <v>6</v>
      </c>
      <c r="B75" s="29" t="s">
        <v>603</v>
      </c>
      <c r="C75" s="19">
        <v>1639</v>
      </c>
      <c r="D75" s="19">
        <v>280</v>
      </c>
      <c r="E75" s="19">
        <f t="shared" si="2"/>
        <v>279104</v>
      </c>
      <c r="G75" s="2"/>
      <c r="H75" s="2"/>
      <c r="I75" s="2"/>
      <c r="J75" s="2"/>
      <c r="K75" s="2"/>
    </row>
    <row r="76" spans="1:11" x14ac:dyDescent="0.25">
      <c r="A76" s="28" t="s">
        <v>6</v>
      </c>
      <c r="B76" s="29" t="s">
        <v>117</v>
      </c>
      <c r="C76" s="19">
        <v>2659</v>
      </c>
      <c r="D76" s="19">
        <v>382</v>
      </c>
      <c r="E76" s="19">
        <f t="shared" si="2"/>
        <v>420349</v>
      </c>
      <c r="G76" s="2"/>
      <c r="H76" s="2"/>
      <c r="I76" s="2"/>
      <c r="J76" s="2"/>
      <c r="K76" s="2"/>
    </row>
    <row r="77" spans="1:11" x14ac:dyDescent="0.25">
      <c r="A77" s="28" t="s">
        <v>6</v>
      </c>
      <c r="B77" s="29" t="s">
        <v>5</v>
      </c>
      <c r="C77" s="19">
        <v>3473</v>
      </c>
      <c r="D77" s="19">
        <v>605</v>
      </c>
      <c r="E77" s="19">
        <f t="shared" si="2"/>
        <v>596662</v>
      </c>
      <c r="G77" s="2"/>
      <c r="H77" s="2"/>
      <c r="I77" s="2"/>
      <c r="J77" s="2"/>
      <c r="K77" s="2"/>
    </row>
    <row r="78" spans="1:11" x14ac:dyDescent="0.25">
      <c r="A78" s="28" t="s">
        <v>1</v>
      </c>
      <c r="B78" s="29" t="s">
        <v>114</v>
      </c>
      <c r="C78" s="19">
        <v>845</v>
      </c>
      <c r="D78" s="19">
        <v>154</v>
      </c>
      <c r="E78" s="19">
        <f t="shared" si="2"/>
        <v>148225</v>
      </c>
      <c r="G78" s="2"/>
      <c r="H78" s="2"/>
      <c r="I78" s="2"/>
      <c r="J78" s="2"/>
      <c r="K78" s="2"/>
    </row>
    <row r="79" spans="1:11" x14ac:dyDescent="0.25">
      <c r="A79" s="28" t="s">
        <v>1</v>
      </c>
      <c r="B79" s="29" t="s">
        <v>102</v>
      </c>
      <c r="C79" s="19">
        <v>1087</v>
      </c>
      <c r="D79" s="19">
        <v>187</v>
      </c>
      <c r="E79" s="19">
        <f t="shared" si="2"/>
        <v>185689</v>
      </c>
      <c r="G79" s="2"/>
      <c r="H79" s="2"/>
      <c r="I79" s="2"/>
      <c r="J79" s="2"/>
      <c r="K79" s="2"/>
    </row>
    <row r="80" spans="1:11" x14ac:dyDescent="0.25">
      <c r="A80" s="28" t="s">
        <v>1</v>
      </c>
      <c r="B80" s="29" t="s">
        <v>604</v>
      </c>
      <c r="C80" s="19">
        <v>631</v>
      </c>
      <c r="D80" s="19">
        <v>101</v>
      </c>
      <c r="E80" s="19">
        <f t="shared" si="2"/>
        <v>104400</v>
      </c>
      <c r="G80" s="2"/>
      <c r="H80" s="2"/>
      <c r="I80" s="2"/>
      <c r="J80" s="2"/>
      <c r="K80" s="2"/>
    </row>
    <row r="81" spans="1:11" x14ac:dyDescent="0.25">
      <c r="A81" s="28" t="s">
        <v>1</v>
      </c>
      <c r="B81" s="29" t="s">
        <v>92</v>
      </c>
      <c r="C81" s="19">
        <v>1883</v>
      </c>
      <c r="D81" s="19">
        <v>314</v>
      </c>
      <c r="E81" s="19">
        <f t="shared" si="2"/>
        <v>317203</v>
      </c>
      <c r="G81" s="2"/>
      <c r="H81" s="2"/>
      <c r="I81" s="2"/>
      <c r="J81" s="2"/>
      <c r="K81" s="2"/>
    </row>
    <row r="82" spans="1:11" x14ac:dyDescent="0.25">
      <c r="A82" s="28" t="s">
        <v>1</v>
      </c>
      <c r="B82" s="29" t="s">
        <v>0</v>
      </c>
      <c r="C82" s="19">
        <v>2368</v>
      </c>
      <c r="D82" s="19">
        <v>435</v>
      </c>
      <c r="E82" s="19">
        <f t="shared" si="2"/>
        <v>416924</v>
      </c>
      <c r="G82" s="2"/>
      <c r="H82" s="2"/>
      <c r="I82" s="2"/>
      <c r="J82" s="2"/>
      <c r="K82" s="2"/>
    </row>
    <row r="83" spans="1:11" x14ac:dyDescent="0.25">
      <c r="A83" s="241" t="s">
        <v>512</v>
      </c>
      <c r="B83" s="241"/>
      <c r="C83" s="24">
        <f>SUM(C4:C82)</f>
        <v>237958</v>
      </c>
      <c r="D83" s="24">
        <f>SUM(D4:D82)</f>
        <v>37709</v>
      </c>
      <c r="E83" s="24">
        <f>SUM(E4:E82)</f>
        <v>39200000</v>
      </c>
      <c r="G83" s="2"/>
      <c r="H83" s="2"/>
      <c r="I83" s="2"/>
      <c r="J83" s="2"/>
      <c r="K83" s="2"/>
    </row>
    <row r="84" spans="1:11" x14ac:dyDescent="0.25">
      <c r="C84" s="40"/>
      <c r="D84" t="s">
        <v>775</v>
      </c>
      <c r="E84" s="2">
        <f>KOOND!S86</f>
        <v>39200000</v>
      </c>
    </row>
    <row r="85" spans="1:11" x14ac:dyDescent="0.25">
      <c r="D85" t="s">
        <v>531</v>
      </c>
      <c r="E85" s="2">
        <f>E84-E83</f>
        <v>0</v>
      </c>
    </row>
    <row r="87" spans="1:11" x14ac:dyDescent="0.25">
      <c r="B87" t="s">
        <v>826</v>
      </c>
      <c r="D87" s="155">
        <v>93.564744000000005</v>
      </c>
    </row>
    <row r="88" spans="1:11" x14ac:dyDescent="0.25">
      <c r="B88" t="s">
        <v>827</v>
      </c>
      <c r="D88" s="156">
        <f>D87*4.8</f>
        <v>449.11077119999999</v>
      </c>
    </row>
    <row r="90" spans="1:11" x14ac:dyDescent="0.25">
      <c r="C90" s="2"/>
      <c r="D90" s="2"/>
      <c r="E90" s="2"/>
    </row>
    <row r="91" spans="1:11" x14ac:dyDescent="0.25">
      <c r="C91" s="2"/>
      <c r="D91" s="2"/>
      <c r="E91" s="2"/>
    </row>
    <row r="92" spans="1:11" x14ac:dyDescent="0.25">
      <c r="C92" s="2"/>
      <c r="D92" s="2"/>
      <c r="E92" s="2"/>
    </row>
  </sheetData>
  <mergeCells count="7">
    <mergeCell ref="E1:E3"/>
    <mergeCell ref="C2:C3"/>
    <mergeCell ref="D2:D3"/>
    <mergeCell ref="A83:B83"/>
    <mergeCell ref="A1:A3"/>
    <mergeCell ref="B1:B3"/>
    <mergeCell ref="C1:D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94"/>
  <sheetViews>
    <sheetView workbookViewId="0">
      <pane xSplit="2" ySplit="3" topLeftCell="O61" activePane="bottomRight" state="frozen"/>
      <selection pane="topRight" activeCell="D1" sqref="D1"/>
      <selection pane="bottomLeft" activeCell="A4" sqref="A4"/>
      <selection pane="bottomRight" activeCell="Y73" sqref="Y73"/>
    </sheetView>
  </sheetViews>
  <sheetFormatPr defaultColWidth="9.109375" defaultRowHeight="13.2" x14ac:dyDescent="0.25"/>
  <cols>
    <col min="1" max="1" width="9.5546875" style="1" bestFit="1" customWidth="1"/>
    <col min="2" max="2" width="19.109375" style="1" customWidth="1"/>
    <col min="3" max="3" width="7.44140625" style="1" bestFit="1" customWidth="1"/>
    <col min="4" max="4" width="15.33203125" style="1" customWidth="1"/>
    <col min="5" max="5" width="8.109375" style="1" bestFit="1" customWidth="1"/>
    <col min="6" max="6" width="11.6640625" style="1" customWidth="1"/>
    <col min="7" max="7" width="5.6640625" style="1" bestFit="1" customWidth="1"/>
    <col min="8" max="8" width="6.6640625" style="1" bestFit="1" customWidth="1"/>
    <col min="9" max="9" width="7.6640625" style="1" customWidth="1"/>
    <col min="10" max="10" width="8.109375" style="1" bestFit="1" customWidth="1"/>
    <col min="11" max="11" width="8.33203125" style="1" customWidth="1"/>
    <col min="12" max="12" width="8.44140625" style="1" customWidth="1"/>
    <col min="13" max="13" width="13" style="1" customWidth="1"/>
    <col min="14" max="15" width="17.6640625" style="1" customWidth="1"/>
    <col min="16" max="16" width="13.33203125" style="1" customWidth="1"/>
    <col min="17" max="17" width="12.6640625" style="1" customWidth="1"/>
    <col min="18" max="18" width="14" style="1" customWidth="1"/>
    <col min="19" max="19" width="13" style="1" customWidth="1"/>
    <col min="20" max="20" width="14" style="1" customWidth="1"/>
    <col min="21" max="21" width="13" style="1" customWidth="1"/>
    <col min="22" max="22" width="10.44140625" style="1" customWidth="1"/>
    <col min="23" max="23" width="11.88671875" style="1" customWidth="1"/>
    <col min="24" max="26" width="10.5546875" style="1" customWidth="1"/>
    <col min="27" max="28" width="9.109375" style="1"/>
    <col min="29" max="29" width="13.6640625" style="1" customWidth="1"/>
    <col min="30" max="30" width="12.6640625" style="1" customWidth="1"/>
    <col min="31" max="31" width="14.33203125" style="1" customWidth="1"/>
    <col min="32" max="32" width="14.6640625" style="1" customWidth="1"/>
    <col min="33" max="16384" width="9.109375" style="1"/>
  </cols>
  <sheetData>
    <row r="1" spans="1:32" ht="12.75" customHeight="1" x14ac:dyDescent="0.25">
      <c r="A1" s="186" t="s">
        <v>511</v>
      </c>
      <c r="B1" s="186" t="s">
        <v>510</v>
      </c>
      <c r="C1" s="186" t="s">
        <v>778</v>
      </c>
      <c r="D1" s="186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6" t="s">
        <v>719</v>
      </c>
      <c r="W1" s="186" t="s">
        <v>837</v>
      </c>
      <c r="X1" s="205" t="s">
        <v>854</v>
      </c>
      <c r="Y1" s="184" t="s">
        <v>800</v>
      </c>
      <c r="Z1" s="205" t="s">
        <v>855</v>
      </c>
      <c r="AA1" s="186" t="s">
        <v>756</v>
      </c>
      <c r="AB1" s="186" t="s">
        <v>534</v>
      </c>
      <c r="AC1" s="247" t="s">
        <v>801</v>
      </c>
      <c r="AD1" s="248"/>
      <c r="AE1" s="248"/>
      <c r="AF1" s="248"/>
    </row>
    <row r="2" spans="1:32" ht="82.5" customHeight="1" x14ac:dyDescent="0.25">
      <c r="A2" s="186"/>
      <c r="B2" s="186"/>
      <c r="C2" s="121" t="s">
        <v>555</v>
      </c>
      <c r="D2" s="121" t="s">
        <v>797</v>
      </c>
      <c r="E2" s="121" t="s">
        <v>556</v>
      </c>
      <c r="F2" s="121" t="s">
        <v>674</v>
      </c>
      <c r="G2" s="121" t="s">
        <v>557</v>
      </c>
      <c r="H2" s="121" t="s">
        <v>558</v>
      </c>
      <c r="I2" s="121" t="s">
        <v>559</v>
      </c>
      <c r="J2" s="121" t="s">
        <v>560</v>
      </c>
      <c r="K2" s="121" t="s">
        <v>561</v>
      </c>
      <c r="L2" s="121" t="s">
        <v>562</v>
      </c>
      <c r="M2" s="121" t="s">
        <v>563</v>
      </c>
      <c r="N2" s="121" t="s">
        <v>798</v>
      </c>
      <c r="O2" s="121" t="s">
        <v>799</v>
      </c>
      <c r="P2" s="121" t="s">
        <v>673</v>
      </c>
      <c r="Q2" s="121" t="s">
        <v>741</v>
      </c>
      <c r="R2" s="121" t="s">
        <v>740</v>
      </c>
      <c r="S2" s="121" t="s">
        <v>739</v>
      </c>
      <c r="T2" s="121" t="s">
        <v>720</v>
      </c>
      <c r="U2" s="121" t="s">
        <v>738</v>
      </c>
      <c r="V2" s="187"/>
      <c r="W2" s="187"/>
      <c r="X2" s="250"/>
      <c r="Y2" s="251"/>
      <c r="Z2" s="250"/>
      <c r="AA2" s="249"/>
      <c r="AB2" s="249"/>
      <c r="AC2" s="198" t="s">
        <v>674</v>
      </c>
      <c r="AD2" s="198" t="s">
        <v>770</v>
      </c>
      <c r="AE2" s="198" t="s">
        <v>771</v>
      </c>
      <c r="AF2" s="198" t="s">
        <v>772</v>
      </c>
    </row>
    <row r="3" spans="1:32" ht="15" customHeight="1" x14ac:dyDescent="0.25">
      <c r="A3" s="186"/>
      <c r="B3" s="186"/>
      <c r="C3" s="174">
        <v>15.36</v>
      </c>
      <c r="D3" s="174">
        <v>4.1900000000000004</v>
      </c>
      <c r="E3" s="174">
        <v>9.31</v>
      </c>
      <c r="F3" s="175">
        <v>7.68</v>
      </c>
      <c r="G3" s="175">
        <v>4.1900000000000004</v>
      </c>
      <c r="H3" s="175">
        <v>15.36</v>
      </c>
      <c r="I3" s="175">
        <v>58.66</v>
      </c>
      <c r="J3" s="175">
        <v>42.37</v>
      </c>
      <c r="K3" s="175">
        <v>33.520000000000003</v>
      </c>
      <c r="L3" s="175">
        <v>11.17</v>
      </c>
      <c r="M3" s="175">
        <v>27.93</v>
      </c>
      <c r="N3" s="175">
        <v>5.03</v>
      </c>
      <c r="O3" s="175">
        <v>5.87</v>
      </c>
      <c r="P3" s="175">
        <v>16.760000000000002</v>
      </c>
      <c r="Q3" s="175">
        <f>P3</f>
        <v>16.760000000000002</v>
      </c>
      <c r="R3" s="175">
        <f t="shared" ref="R3:U3" si="0">Q3</f>
        <v>16.760000000000002</v>
      </c>
      <c r="S3" s="175">
        <f t="shared" si="0"/>
        <v>16.760000000000002</v>
      </c>
      <c r="T3" s="175">
        <f t="shared" si="0"/>
        <v>16.760000000000002</v>
      </c>
      <c r="U3" s="175">
        <f t="shared" si="0"/>
        <v>16.760000000000002</v>
      </c>
      <c r="V3" s="187"/>
      <c r="W3" s="187"/>
      <c r="X3" s="250"/>
      <c r="Y3" s="251"/>
      <c r="Z3" s="250"/>
      <c r="AA3" s="249"/>
      <c r="AB3" s="249"/>
      <c r="AC3" s="194"/>
      <c r="AD3" s="194"/>
      <c r="AE3" s="194"/>
      <c r="AF3" s="194"/>
    </row>
    <row r="4" spans="1:32" x14ac:dyDescent="0.25">
      <c r="A4" s="28" t="s">
        <v>69</v>
      </c>
      <c r="B4" s="29" t="s">
        <v>490</v>
      </c>
      <c r="C4" s="12">
        <v>6</v>
      </c>
      <c r="D4" s="12">
        <v>50</v>
      </c>
      <c r="E4" s="12">
        <v>0</v>
      </c>
      <c r="F4" s="12">
        <v>0</v>
      </c>
      <c r="G4" s="12">
        <v>1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/>
      <c r="W4" s="12">
        <v>0</v>
      </c>
      <c r="X4" s="12">
        <f>ROUND(C4*C$3+D4*D$3+E4*E$3+F4*F$3+G4*G$3+H4*H$3+I4*I$3+J4*J$3+K4*K$3+L4*L$3+M4*M$3+N4*N$3+O4*O$3+P4*P$3+Q4*Q$3+R4*R$3+S4*S$3+T4*T$3+U4*U$3+V4+W4,0)</f>
        <v>306</v>
      </c>
      <c r="Y4" s="12">
        <f>ROUND(X4/X$83*Y$84,0)</f>
        <v>299</v>
      </c>
      <c r="Z4" s="12">
        <f>X4-Y4</f>
        <v>7</v>
      </c>
      <c r="AA4" s="12">
        <v>1392</v>
      </c>
      <c r="AB4" s="12">
        <f>X4-AA4</f>
        <v>-1086</v>
      </c>
      <c r="AC4" s="9">
        <v>0</v>
      </c>
      <c r="AD4" s="9">
        <v>115</v>
      </c>
      <c r="AE4" s="9">
        <v>0</v>
      </c>
      <c r="AF4" s="9">
        <v>0</v>
      </c>
    </row>
    <row r="5" spans="1:32" x14ac:dyDescent="0.25">
      <c r="A5" s="28" t="s">
        <v>69</v>
      </c>
      <c r="B5" s="29" t="s">
        <v>488</v>
      </c>
      <c r="C5" s="12">
        <v>6</v>
      </c>
      <c r="D5" s="12">
        <v>162</v>
      </c>
      <c r="E5" s="12">
        <v>0</v>
      </c>
      <c r="F5" s="12">
        <v>0</v>
      </c>
      <c r="G5" s="12">
        <v>7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/>
      <c r="W5" s="12">
        <v>0</v>
      </c>
      <c r="X5" s="12">
        <f t="shared" ref="X5:X68" si="1">ROUND(C5*C$3+D5*D$3+E5*E$3+F5*F$3+G5*G$3+H5*H$3+I5*I$3+J5*J$3+K5*K$3+L5*L$3+M5*M$3+N5*N$3+O5*O$3+P5*P$3+Q5*Q$3+R5*R$3+S5*S$3+T5*T$3+U5*U$3+V5+W5,0)</f>
        <v>800</v>
      </c>
      <c r="Y5" s="12">
        <f t="shared" ref="Y5:Y68" si="2">ROUND(X5/X$83*Y$84,0)</f>
        <v>783</v>
      </c>
      <c r="Z5" s="12">
        <f t="shared" ref="Z5:Z68" si="3">X5-Y5</f>
        <v>17</v>
      </c>
      <c r="AA5" s="12">
        <v>2442</v>
      </c>
      <c r="AB5" s="12">
        <f t="shared" ref="AB5:AB68" si="4">X5-AA5</f>
        <v>-1642</v>
      </c>
      <c r="AC5" s="9">
        <v>0</v>
      </c>
      <c r="AD5" s="9">
        <v>10</v>
      </c>
      <c r="AE5" s="9">
        <v>0</v>
      </c>
      <c r="AF5" s="9">
        <v>0</v>
      </c>
    </row>
    <row r="6" spans="1:32" x14ac:dyDescent="0.25">
      <c r="A6" s="28" t="s">
        <v>69</v>
      </c>
      <c r="B6" s="29" t="s">
        <v>486</v>
      </c>
      <c r="C6" s="12">
        <v>9</v>
      </c>
      <c r="D6" s="12">
        <v>48</v>
      </c>
      <c r="E6" s="12">
        <v>0</v>
      </c>
      <c r="F6" s="12">
        <v>0</v>
      </c>
      <c r="G6" s="12">
        <v>4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/>
      <c r="W6" s="12">
        <v>0</v>
      </c>
      <c r="X6" s="12">
        <f t="shared" si="1"/>
        <v>356</v>
      </c>
      <c r="Y6" s="12">
        <f t="shared" si="2"/>
        <v>348</v>
      </c>
      <c r="Z6" s="12">
        <f t="shared" si="3"/>
        <v>8</v>
      </c>
      <c r="AA6" s="12">
        <v>957</v>
      </c>
      <c r="AB6" s="12">
        <f t="shared" si="4"/>
        <v>-601</v>
      </c>
      <c r="AC6" s="9">
        <v>0</v>
      </c>
      <c r="AD6" s="9">
        <v>1</v>
      </c>
      <c r="AE6" s="9">
        <v>0</v>
      </c>
      <c r="AF6" s="9">
        <v>0</v>
      </c>
    </row>
    <row r="7" spans="1:32" x14ac:dyDescent="0.25">
      <c r="A7" s="28" t="s">
        <v>69</v>
      </c>
      <c r="B7" s="29" t="s">
        <v>81</v>
      </c>
      <c r="C7" s="12">
        <v>12</v>
      </c>
      <c r="D7" s="12">
        <v>91</v>
      </c>
      <c r="E7" s="12">
        <v>0</v>
      </c>
      <c r="F7" s="12">
        <v>0</v>
      </c>
      <c r="G7" s="12">
        <v>2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/>
      <c r="W7" s="12">
        <v>0</v>
      </c>
      <c r="X7" s="12">
        <f t="shared" si="1"/>
        <v>574</v>
      </c>
      <c r="Y7" s="12">
        <f t="shared" si="2"/>
        <v>562</v>
      </c>
      <c r="Z7" s="12">
        <f t="shared" si="3"/>
        <v>12</v>
      </c>
      <c r="AA7" s="12">
        <v>1291</v>
      </c>
      <c r="AB7" s="12">
        <f t="shared" si="4"/>
        <v>-717</v>
      </c>
      <c r="AC7" s="9">
        <v>0</v>
      </c>
      <c r="AD7" s="9">
        <v>0</v>
      </c>
      <c r="AE7" s="9">
        <v>0</v>
      </c>
      <c r="AF7" s="9">
        <v>0</v>
      </c>
    </row>
    <row r="8" spans="1:32" x14ac:dyDescent="0.25">
      <c r="A8" s="28" t="s">
        <v>69</v>
      </c>
      <c r="B8" s="29" t="s">
        <v>480</v>
      </c>
      <c r="C8" s="12">
        <v>3</v>
      </c>
      <c r="D8" s="12">
        <v>65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/>
      <c r="W8" s="12">
        <v>0</v>
      </c>
      <c r="X8" s="12">
        <f t="shared" si="1"/>
        <v>323</v>
      </c>
      <c r="Y8" s="12">
        <f t="shared" si="2"/>
        <v>316</v>
      </c>
      <c r="Z8" s="12">
        <f t="shared" si="3"/>
        <v>7</v>
      </c>
      <c r="AA8" s="12">
        <v>1349</v>
      </c>
      <c r="AB8" s="12">
        <f t="shared" si="4"/>
        <v>-1026</v>
      </c>
      <c r="AC8" s="9">
        <v>0</v>
      </c>
      <c r="AD8" s="9">
        <v>12</v>
      </c>
      <c r="AE8" s="9">
        <v>0</v>
      </c>
      <c r="AF8" s="9">
        <v>0</v>
      </c>
    </row>
    <row r="9" spans="1:32" x14ac:dyDescent="0.25">
      <c r="A9" s="28" t="s">
        <v>69</v>
      </c>
      <c r="B9" s="31" t="s">
        <v>478</v>
      </c>
      <c r="C9" s="12">
        <v>16</v>
      </c>
      <c r="D9" s="12">
        <v>63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/>
      <c r="W9" s="12">
        <v>0</v>
      </c>
      <c r="X9" s="12">
        <f t="shared" si="1"/>
        <v>510</v>
      </c>
      <c r="Y9" s="12">
        <f t="shared" si="2"/>
        <v>499</v>
      </c>
      <c r="Z9" s="12">
        <f t="shared" si="3"/>
        <v>11</v>
      </c>
      <c r="AA9" s="12">
        <v>1168</v>
      </c>
      <c r="AB9" s="12">
        <f t="shared" si="4"/>
        <v>-658</v>
      </c>
      <c r="AC9" s="9">
        <v>0</v>
      </c>
      <c r="AD9" s="9">
        <v>0</v>
      </c>
      <c r="AE9" s="9">
        <v>0</v>
      </c>
      <c r="AF9" s="9">
        <v>0</v>
      </c>
    </row>
    <row r="10" spans="1:32" x14ac:dyDescent="0.25">
      <c r="A10" s="28" t="s">
        <v>69</v>
      </c>
      <c r="B10" s="29" t="s">
        <v>476</v>
      </c>
      <c r="C10" s="12">
        <v>4</v>
      </c>
      <c r="D10" s="12">
        <v>44</v>
      </c>
      <c r="E10" s="12">
        <v>0</v>
      </c>
      <c r="F10" s="12">
        <v>0</v>
      </c>
      <c r="G10" s="12">
        <v>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/>
      <c r="W10" s="12">
        <v>0</v>
      </c>
      <c r="X10" s="12">
        <f t="shared" si="1"/>
        <v>254</v>
      </c>
      <c r="Y10" s="12">
        <f t="shared" si="2"/>
        <v>248</v>
      </c>
      <c r="Z10" s="12">
        <f t="shared" si="3"/>
        <v>6</v>
      </c>
      <c r="AA10" s="12">
        <v>778</v>
      </c>
      <c r="AB10" s="12">
        <f t="shared" si="4"/>
        <v>-524</v>
      </c>
      <c r="AC10" s="9">
        <v>0</v>
      </c>
      <c r="AD10" s="9">
        <v>10</v>
      </c>
      <c r="AE10" s="9">
        <v>0</v>
      </c>
      <c r="AF10" s="9">
        <v>0</v>
      </c>
    </row>
    <row r="11" spans="1:32" x14ac:dyDescent="0.25">
      <c r="A11" s="28" t="s">
        <v>69</v>
      </c>
      <c r="B11" s="29" t="s">
        <v>83</v>
      </c>
      <c r="C11" s="12">
        <v>4</v>
      </c>
      <c r="D11" s="12">
        <v>5</v>
      </c>
      <c r="E11" s="12">
        <v>0</v>
      </c>
      <c r="F11" s="12">
        <v>0</v>
      </c>
      <c r="G11" s="12">
        <v>2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/>
      <c r="W11" s="12">
        <v>0</v>
      </c>
      <c r="X11" s="12">
        <f t="shared" si="1"/>
        <v>91</v>
      </c>
      <c r="Y11" s="12">
        <f t="shared" si="2"/>
        <v>89</v>
      </c>
      <c r="Z11" s="12">
        <f t="shared" si="3"/>
        <v>2</v>
      </c>
      <c r="AA11" s="12">
        <v>370</v>
      </c>
      <c r="AB11" s="12">
        <f t="shared" si="4"/>
        <v>-279</v>
      </c>
      <c r="AC11" s="9">
        <v>0</v>
      </c>
      <c r="AD11" s="9">
        <v>40</v>
      </c>
      <c r="AE11" s="9">
        <v>0</v>
      </c>
      <c r="AF11" s="9">
        <v>0</v>
      </c>
    </row>
    <row r="12" spans="1:32" x14ac:dyDescent="0.25">
      <c r="A12" s="28" t="s">
        <v>69</v>
      </c>
      <c r="B12" s="29" t="s">
        <v>605</v>
      </c>
      <c r="C12" s="12">
        <v>18</v>
      </c>
      <c r="D12" s="12">
        <v>91</v>
      </c>
      <c r="E12" s="12">
        <v>0</v>
      </c>
      <c r="F12" s="12">
        <v>0</v>
      </c>
      <c r="G12" s="12">
        <v>5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/>
      <c r="W12" s="12">
        <v>0</v>
      </c>
      <c r="X12" s="12">
        <f t="shared" si="1"/>
        <v>679</v>
      </c>
      <c r="Y12" s="12">
        <f t="shared" si="2"/>
        <v>664</v>
      </c>
      <c r="Z12" s="12">
        <f t="shared" si="3"/>
        <v>15</v>
      </c>
      <c r="AA12" s="12">
        <v>1475</v>
      </c>
      <c r="AB12" s="12">
        <f t="shared" si="4"/>
        <v>-796</v>
      </c>
      <c r="AC12" s="9">
        <v>0</v>
      </c>
      <c r="AD12" s="9">
        <v>31</v>
      </c>
      <c r="AE12" s="9">
        <v>0</v>
      </c>
      <c r="AF12" s="9">
        <v>0</v>
      </c>
    </row>
    <row r="13" spans="1:32" x14ac:dyDescent="0.25">
      <c r="A13" s="28" t="s">
        <v>69</v>
      </c>
      <c r="B13" s="29" t="s">
        <v>68</v>
      </c>
      <c r="C13" s="12">
        <v>25</v>
      </c>
      <c r="D13" s="12">
        <v>69</v>
      </c>
      <c r="E13" s="12">
        <v>0</v>
      </c>
      <c r="F13" s="12">
        <v>0</v>
      </c>
      <c r="G13" s="12">
        <v>12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/>
      <c r="W13" s="12">
        <v>0</v>
      </c>
      <c r="X13" s="12">
        <f t="shared" si="1"/>
        <v>723</v>
      </c>
      <c r="Y13" s="12">
        <f t="shared" si="2"/>
        <v>707</v>
      </c>
      <c r="Z13" s="12">
        <f t="shared" si="3"/>
        <v>16</v>
      </c>
      <c r="AA13" s="12">
        <v>1495</v>
      </c>
      <c r="AB13" s="12">
        <f t="shared" si="4"/>
        <v>-772</v>
      </c>
      <c r="AC13" s="9">
        <v>0</v>
      </c>
      <c r="AD13" s="9">
        <v>44</v>
      </c>
      <c r="AE13" s="9">
        <v>0</v>
      </c>
      <c r="AF13" s="9">
        <v>0</v>
      </c>
    </row>
    <row r="14" spans="1:32" x14ac:dyDescent="0.25">
      <c r="A14" s="28" t="s">
        <v>69</v>
      </c>
      <c r="B14" s="29" t="s">
        <v>470</v>
      </c>
      <c r="C14" s="12">
        <v>6</v>
      </c>
      <c r="D14" s="12">
        <v>68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/>
      <c r="W14" s="12">
        <v>0</v>
      </c>
      <c r="X14" s="12">
        <f t="shared" si="1"/>
        <v>381</v>
      </c>
      <c r="Y14" s="12">
        <f t="shared" si="2"/>
        <v>373</v>
      </c>
      <c r="Z14" s="12">
        <f t="shared" si="3"/>
        <v>8</v>
      </c>
      <c r="AA14" s="12">
        <v>905</v>
      </c>
      <c r="AB14" s="12">
        <f t="shared" si="4"/>
        <v>-524</v>
      </c>
      <c r="AC14" s="9">
        <v>0</v>
      </c>
      <c r="AD14" s="9">
        <v>10</v>
      </c>
      <c r="AE14" s="9">
        <v>0</v>
      </c>
      <c r="AF14" s="9">
        <v>0</v>
      </c>
    </row>
    <row r="15" spans="1:32" x14ac:dyDescent="0.25">
      <c r="A15" s="28" t="s">
        <v>69</v>
      </c>
      <c r="B15" s="29" t="s">
        <v>468</v>
      </c>
      <c r="C15" s="12">
        <v>19</v>
      </c>
      <c r="D15" s="12">
        <v>315</v>
      </c>
      <c r="E15" s="12">
        <v>0</v>
      </c>
      <c r="F15" s="12">
        <v>0</v>
      </c>
      <c r="G15" s="12">
        <v>23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/>
      <c r="W15" s="12">
        <v>0</v>
      </c>
      <c r="X15" s="12">
        <f t="shared" si="1"/>
        <v>1708</v>
      </c>
      <c r="Y15" s="12">
        <f t="shared" si="2"/>
        <v>1671</v>
      </c>
      <c r="Z15" s="12">
        <f t="shared" si="3"/>
        <v>37</v>
      </c>
      <c r="AA15" s="12">
        <v>5497</v>
      </c>
      <c r="AB15" s="12">
        <f t="shared" si="4"/>
        <v>-3789</v>
      </c>
      <c r="AC15" s="9">
        <v>0</v>
      </c>
      <c r="AD15" s="9">
        <v>0</v>
      </c>
      <c r="AE15" s="9">
        <v>0</v>
      </c>
      <c r="AF15" s="9">
        <v>0</v>
      </c>
    </row>
    <row r="16" spans="1:32" x14ac:dyDescent="0.25">
      <c r="A16" s="28" t="s">
        <v>69</v>
      </c>
      <c r="B16" s="29" t="s">
        <v>466</v>
      </c>
      <c r="C16" s="12">
        <v>5</v>
      </c>
      <c r="D16" s="12">
        <v>106</v>
      </c>
      <c r="E16" s="12">
        <v>0</v>
      </c>
      <c r="F16" s="12">
        <v>0</v>
      </c>
      <c r="G16" s="12">
        <v>7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/>
      <c r="W16" s="12">
        <v>0</v>
      </c>
      <c r="X16" s="12">
        <f t="shared" si="1"/>
        <v>550</v>
      </c>
      <c r="Y16" s="12">
        <f t="shared" si="2"/>
        <v>538</v>
      </c>
      <c r="Z16" s="12">
        <f t="shared" si="3"/>
        <v>12</v>
      </c>
      <c r="AA16" s="12">
        <v>1983</v>
      </c>
      <c r="AB16" s="12">
        <f t="shared" si="4"/>
        <v>-1433</v>
      </c>
      <c r="AC16" s="9">
        <v>0</v>
      </c>
      <c r="AD16" s="9">
        <v>6</v>
      </c>
      <c r="AE16" s="9">
        <v>0</v>
      </c>
      <c r="AF16" s="9">
        <v>0</v>
      </c>
    </row>
    <row r="17" spans="1:32" x14ac:dyDescent="0.25">
      <c r="A17" s="28" t="s">
        <v>69</v>
      </c>
      <c r="B17" s="29" t="s">
        <v>464</v>
      </c>
      <c r="C17" s="12">
        <v>22</v>
      </c>
      <c r="D17" s="12">
        <v>259</v>
      </c>
      <c r="E17" s="12">
        <v>0</v>
      </c>
      <c r="F17" s="12">
        <v>0</v>
      </c>
      <c r="G17" s="12">
        <v>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/>
      <c r="W17" s="12">
        <v>0</v>
      </c>
      <c r="X17" s="12">
        <f t="shared" si="1"/>
        <v>1448</v>
      </c>
      <c r="Y17" s="12">
        <f t="shared" si="2"/>
        <v>1417</v>
      </c>
      <c r="Z17" s="12">
        <f t="shared" si="3"/>
        <v>31</v>
      </c>
      <c r="AA17" s="12">
        <v>4621</v>
      </c>
      <c r="AB17" s="12">
        <f t="shared" si="4"/>
        <v>-3173</v>
      </c>
      <c r="AC17" s="9">
        <v>0</v>
      </c>
      <c r="AD17" s="9">
        <v>18</v>
      </c>
      <c r="AE17" s="9">
        <v>0</v>
      </c>
      <c r="AF17" s="9">
        <v>0</v>
      </c>
    </row>
    <row r="18" spans="1:32" x14ac:dyDescent="0.25">
      <c r="A18" s="28" t="s">
        <v>69</v>
      </c>
      <c r="B18" s="83" t="s">
        <v>587</v>
      </c>
      <c r="C18" s="12">
        <v>922</v>
      </c>
      <c r="D18" s="12">
        <v>2954</v>
      </c>
      <c r="E18" s="12">
        <v>25</v>
      </c>
      <c r="F18" s="12">
        <v>7054</v>
      </c>
      <c r="G18" s="12">
        <v>1831</v>
      </c>
      <c r="H18" s="12">
        <v>47</v>
      </c>
      <c r="I18" s="12">
        <v>2575</v>
      </c>
      <c r="J18" s="12">
        <v>1027</v>
      </c>
      <c r="K18" s="12">
        <v>1440</v>
      </c>
      <c r="L18" s="12">
        <v>16</v>
      </c>
      <c r="M18" s="12">
        <v>159</v>
      </c>
      <c r="N18" s="12">
        <v>4926</v>
      </c>
      <c r="O18" s="12">
        <v>5745</v>
      </c>
      <c r="P18" s="12">
        <v>5559</v>
      </c>
      <c r="Q18" s="12">
        <v>1842</v>
      </c>
      <c r="R18" s="12">
        <v>3</v>
      </c>
      <c r="S18" s="12">
        <v>221</v>
      </c>
      <c r="T18" s="12">
        <v>2564</v>
      </c>
      <c r="U18" s="12">
        <v>8477</v>
      </c>
      <c r="V18" s="12">
        <v>6000</v>
      </c>
      <c r="W18" s="12">
        <v>21130</v>
      </c>
      <c r="X18" s="173">
        <f>ROUND(C18*C$3+D18*D$3+E18*E$3+(F18-AC18-AE18-AD18)*F$3+G18*G$3+H18*H$3+I18*I$3+J18*J$3+K18*K$3+L18*L$3+M18*M$3+N18*N$3+O18*O$3+P18*P$3+Q18*Q$3+R18*R$3+S18*S$3+T18*T$3+(U18-AF18)*U$3+V18+W18,0)</f>
        <v>616039</v>
      </c>
      <c r="Y18" s="12">
        <f t="shared" si="2"/>
        <v>602647</v>
      </c>
      <c r="Z18" s="12">
        <f t="shared" si="3"/>
        <v>13392</v>
      </c>
      <c r="AA18" s="12">
        <v>590474</v>
      </c>
      <c r="AB18" s="12">
        <f t="shared" si="4"/>
        <v>25565</v>
      </c>
      <c r="AC18" s="9">
        <v>5643</v>
      </c>
      <c r="AD18" s="9">
        <v>58</v>
      </c>
      <c r="AE18" s="9">
        <v>99</v>
      </c>
      <c r="AF18" s="9">
        <v>4456</v>
      </c>
    </row>
    <row r="19" spans="1:32" x14ac:dyDescent="0.25">
      <c r="A19" s="28" t="s">
        <v>69</v>
      </c>
      <c r="B19" s="29" t="s">
        <v>460</v>
      </c>
      <c r="C19" s="12">
        <v>15</v>
      </c>
      <c r="D19" s="12">
        <v>198</v>
      </c>
      <c r="E19" s="12">
        <v>0</v>
      </c>
      <c r="F19" s="12">
        <v>0</v>
      </c>
      <c r="G19" s="12">
        <v>12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/>
      <c r="W19" s="12">
        <v>0</v>
      </c>
      <c r="X19" s="12">
        <f t="shared" si="1"/>
        <v>1110</v>
      </c>
      <c r="Y19" s="12">
        <f t="shared" si="2"/>
        <v>1086</v>
      </c>
      <c r="Z19" s="12">
        <f t="shared" si="3"/>
        <v>24</v>
      </c>
      <c r="AA19" s="12">
        <v>3467</v>
      </c>
      <c r="AB19" s="12">
        <f t="shared" si="4"/>
        <v>-2357</v>
      </c>
      <c r="AC19" s="9">
        <v>0</v>
      </c>
      <c r="AD19" s="9">
        <v>19</v>
      </c>
      <c r="AE19" s="9">
        <v>0</v>
      </c>
      <c r="AF19" s="9">
        <v>0</v>
      </c>
    </row>
    <row r="20" spans="1:32" x14ac:dyDescent="0.25">
      <c r="A20" s="28" t="s">
        <v>67</v>
      </c>
      <c r="B20" s="83" t="s">
        <v>591</v>
      </c>
      <c r="C20" s="12">
        <v>9</v>
      </c>
      <c r="D20" s="12">
        <v>53</v>
      </c>
      <c r="E20" s="12">
        <v>0</v>
      </c>
      <c r="F20" s="12">
        <v>22</v>
      </c>
      <c r="G20" s="12">
        <v>1</v>
      </c>
      <c r="H20" s="12">
        <v>0</v>
      </c>
      <c r="I20" s="12">
        <v>28</v>
      </c>
      <c r="J20" s="12">
        <v>8</v>
      </c>
      <c r="K20" s="12">
        <v>0</v>
      </c>
      <c r="L20" s="12">
        <v>0</v>
      </c>
      <c r="M20" s="12">
        <v>3</v>
      </c>
      <c r="N20" s="12">
        <v>54</v>
      </c>
      <c r="O20" s="12">
        <v>51</v>
      </c>
      <c r="P20" s="12">
        <v>16</v>
      </c>
      <c r="Q20" s="12">
        <v>9</v>
      </c>
      <c r="R20" s="12">
        <v>0</v>
      </c>
      <c r="S20" s="12">
        <v>86</v>
      </c>
      <c r="T20" s="12">
        <v>8</v>
      </c>
      <c r="U20" s="12">
        <v>83</v>
      </c>
      <c r="V20" s="12">
        <v>800</v>
      </c>
      <c r="W20" s="12">
        <v>74</v>
      </c>
      <c r="X20" s="173">
        <f>ROUND(C20*C$3+D20*D$3+E20*E$3+(F20-AC20-AE20-AD20)*F$3+G20*G$3+H20*H$3+I20*I$3+J20*J$3+K20*K$3+L20*L$3+M20*M$3+N20*N$3+O20*O$3+P20*P$3+Q20*Q$3+R20*R$3+S20*S$3+T20*T$3+(U20-AF20)*U$3+V20+W20,0)</f>
        <v>6151</v>
      </c>
      <c r="Y20" s="12">
        <f t="shared" si="2"/>
        <v>6017</v>
      </c>
      <c r="Z20" s="12">
        <f t="shared" si="3"/>
        <v>134</v>
      </c>
      <c r="AA20" s="12">
        <v>6879</v>
      </c>
      <c r="AB20" s="12">
        <f t="shared" si="4"/>
        <v>-728</v>
      </c>
      <c r="AC20" s="9">
        <v>18</v>
      </c>
      <c r="AD20" s="9">
        <v>0</v>
      </c>
      <c r="AE20" s="9">
        <v>0</v>
      </c>
      <c r="AF20" s="9">
        <v>68</v>
      </c>
    </row>
    <row r="21" spans="1:32" x14ac:dyDescent="0.25">
      <c r="A21" s="28" t="s">
        <v>58</v>
      </c>
      <c r="B21" s="29" t="s">
        <v>592</v>
      </c>
      <c r="C21" s="12">
        <v>2</v>
      </c>
      <c r="D21" s="12">
        <v>14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/>
      <c r="W21" s="12">
        <v>0</v>
      </c>
      <c r="X21" s="12">
        <f t="shared" si="1"/>
        <v>89</v>
      </c>
      <c r="Y21" s="12">
        <f t="shared" si="2"/>
        <v>87</v>
      </c>
      <c r="Z21" s="12">
        <f t="shared" si="3"/>
        <v>2</v>
      </c>
      <c r="AA21" s="12">
        <v>417</v>
      </c>
      <c r="AB21" s="12">
        <f t="shared" si="4"/>
        <v>-328</v>
      </c>
      <c r="AC21" s="9">
        <v>0</v>
      </c>
      <c r="AD21" s="9">
        <v>0</v>
      </c>
      <c r="AE21" s="9">
        <v>0</v>
      </c>
      <c r="AF21" s="9">
        <v>0</v>
      </c>
    </row>
    <row r="22" spans="1:32" x14ac:dyDescent="0.25">
      <c r="A22" s="28" t="s">
        <v>58</v>
      </c>
      <c r="B22" s="83" t="s">
        <v>434</v>
      </c>
      <c r="C22" s="12">
        <v>68</v>
      </c>
      <c r="D22" s="12">
        <v>59</v>
      </c>
      <c r="E22" s="12">
        <v>3</v>
      </c>
      <c r="F22" s="12">
        <v>554</v>
      </c>
      <c r="G22" s="12">
        <v>6</v>
      </c>
      <c r="H22" s="12">
        <v>18</v>
      </c>
      <c r="I22" s="12">
        <v>295</v>
      </c>
      <c r="J22" s="12">
        <v>127</v>
      </c>
      <c r="K22" s="12">
        <v>186</v>
      </c>
      <c r="L22" s="12">
        <v>0</v>
      </c>
      <c r="M22" s="12">
        <v>0</v>
      </c>
      <c r="N22" s="12">
        <v>225</v>
      </c>
      <c r="O22" s="12">
        <v>526</v>
      </c>
      <c r="P22" s="12">
        <v>559</v>
      </c>
      <c r="Q22" s="12">
        <v>274</v>
      </c>
      <c r="R22" s="12">
        <v>0</v>
      </c>
      <c r="S22" s="12">
        <v>46</v>
      </c>
      <c r="T22" s="12">
        <v>301</v>
      </c>
      <c r="U22" s="12">
        <v>2347</v>
      </c>
      <c r="V22" s="12">
        <v>800</v>
      </c>
      <c r="W22" s="12">
        <v>7449</v>
      </c>
      <c r="X22" s="173">
        <f>ROUND(C22*C$3+D22*D$3+E22*E$3+(F22-AC22-AE22-AD22)*F$3+G22*G$3+H22*H$3+I22*I$3+J22*J$3+K22*K$3+L22*L$3+M22*M$3+N22*N$3+O22*O$3+P22*P$3+Q22*Q$3+R22*R$3+S22*S$3+T22*T$3+(U22-AF22)*U$3+V22+W22,0)</f>
        <v>76864</v>
      </c>
      <c r="Y22" s="12">
        <f t="shared" si="2"/>
        <v>75193</v>
      </c>
      <c r="Z22" s="12">
        <f t="shared" si="3"/>
        <v>1671</v>
      </c>
      <c r="AA22" s="12">
        <v>75659</v>
      </c>
      <c r="AB22" s="12">
        <f t="shared" si="4"/>
        <v>1205</v>
      </c>
      <c r="AC22" s="9">
        <v>477</v>
      </c>
      <c r="AD22" s="9">
        <v>0</v>
      </c>
      <c r="AE22" s="9">
        <v>3</v>
      </c>
      <c r="AF22" s="9">
        <v>1541</v>
      </c>
    </row>
    <row r="23" spans="1:32" x14ac:dyDescent="0.25">
      <c r="A23" s="28" t="s">
        <v>58</v>
      </c>
      <c r="B23" s="29" t="s">
        <v>57</v>
      </c>
      <c r="C23" s="12">
        <v>5</v>
      </c>
      <c r="D23" s="12">
        <v>126</v>
      </c>
      <c r="E23" s="12">
        <v>0</v>
      </c>
      <c r="F23" s="12">
        <v>0</v>
      </c>
      <c r="G23" s="12">
        <v>63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/>
      <c r="W23" s="12">
        <v>0</v>
      </c>
      <c r="X23" s="12">
        <f t="shared" si="1"/>
        <v>869</v>
      </c>
      <c r="Y23" s="12">
        <f t="shared" si="2"/>
        <v>850</v>
      </c>
      <c r="Z23" s="12">
        <f t="shared" si="3"/>
        <v>19</v>
      </c>
      <c r="AA23" s="12">
        <v>1686</v>
      </c>
      <c r="AB23" s="12">
        <f t="shared" si="4"/>
        <v>-817</v>
      </c>
      <c r="AC23" s="9">
        <v>0</v>
      </c>
      <c r="AD23" s="9">
        <v>0</v>
      </c>
      <c r="AE23" s="9">
        <v>0</v>
      </c>
      <c r="AF23" s="9">
        <v>0</v>
      </c>
    </row>
    <row r="24" spans="1:32" x14ac:dyDescent="0.25">
      <c r="A24" s="28" t="s">
        <v>58</v>
      </c>
      <c r="B24" s="29" t="s">
        <v>426</v>
      </c>
      <c r="C24" s="12">
        <v>11</v>
      </c>
      <c r="D24" s="12">
        <v>30</v>
      </c>
      <c r="E24" s="12">
        <v>0</v>
      </c>
      <c r="F24" s="12">
        <v>0</v>
      </c>
      <c r="G24" s="12">
        <v>4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/>
      <c r="W24" s="12">
        <v>0</v>
      </c>
      <c r="X24" s="12">
        <f t="shared" si="1"/>
        <v>311</v>
      </c>
      <c r="Y24" s="12">
        <f t="shared" si="2"/>
        <v>304</v>
      </c>
      <c r="Z24" s="12">
        <f t="shared" si="3"/>
        <v>7</v>
      </c>
      <c r="AA24" s="12">
        <v>596</v>
      </c>
      <c r="AB24" s="12">
        <f t="shared" si="4"/>
        <v>-285</v>
      </c>
      <c r="AC24" s="9">
        <v>0</v>
      </c>
      <c r="AD24" s="9">
        <v>26</v>
      </c>
      <c r="AE24" s="9">
        <v>0</v>
      </c>
      <c r="AF24" s="9">
        <v>0</v>
      </c>
    </row>
    <row r="25" spans="1:32" x14ac:dyDescent="0.25">
      <c r="A25" s="28" t="s">
        <v>58</v>
      </c>
      <c r="B25" s="83" t="s">
        <v>59</v>
      </c>
      <c r="C25" s="12">
        <v>107</v>
      </c>
      <c r="D25" s="12">
        <v>176</v>
      </c>
      <c r="E25" s="12">
        <v>2</v>
      </c>
      <c r="F25" s="12">
        <v>339</v>
      </c>
      <c r="G25" s="12">
        <v>58</v>
      </c>
      <c r="H25" s="12">
        <v>29</v>
      </c>
      <c r="I25" s="12">
        <v>298</v>
      </c>
      <c r="J25" s="12">
        <v>117</v>
      </c>
      <c r="K25" s="12">
        <v>0</v>
      </c>
      <c r="L25" s="12">
        <v>0</v>
      </c>
      <c r="M25" s="12">
        <v>0</v>
      </c>
      <c r="N25" s="12">
        <v>295</v>
      </c>
      <c r="O25" s="12">
        <v>858</v>
      </c>
      <c r="P25" s="12">
        <v>691</v>
      </c>
      <c r="Q25" s="12">
        <v>331</v>
      </c>
      <c r="R25" s="12">
        <v>0</v>
      </c>
      <c r="S25" s="12">
        <v>101</v>
      </c>
      <c r="T25" s="12">
        <v>481</v>
      </c>
      <c r="U25" s="12">
        <v>5284</v>
      </c>
      <c r="V25" s="12">
        <v>800</v>
      </c>
      <c r="W25" s="12">
        <v>8937</v>
      </c>
      <c r="X25" s="173">
        <f>ROUND(C25*C$3+D25*D$3+E25*E$3+(F25-AC25-AE25-AD25)*F$3+G25*G$3+H25*H$3+I25*I$3+J25*J$3+K25*K$3+L25*L$3+M25*M$3+N25*N$3+O25*O$3+P25*P$3+Q25*Q$3+R25*R$3+S25*S$3+T25*T$3+(U25-AF25)*U$3+V25+W25,0)</f>
        <v>110463</v>
      </c>
      <c r="Y25" s="12">
        <f t="shared" si="2"/>
        <v>108062</v>
      </c>
      <c r="Z25" s="12">
        <f t="shared" si="3"/>
        <v>2401</v>
      </c>
      <c r="AA25" s="12">
        <v>125046</v>
      </c>
      <c r="AB25" s="12">
        <f t="shared" si="4"/>
        <v>-14583</v>
      </c>
      <c r="AC25" s="9">
        <v>239</v>
      </c>
      <c r="AD25" s="9">
        <v>0</v>
      </c>
      <c r="AE25" s="9">
        <v>0</v>
      </c>
      <c r="AF25" s="9">
        <v>2836</v>
      </c>
    </row>
    <row r="26" spans="1:32" x14ac:dyDescent="0.25">
      <c r="A26" s="28" t="s">
        <v>58</v>
      </c>
      <c r="B26" s="29" t="s">
        <v>62</v>
      </c>
      <c r="C26" s="12">
        <v>2</v>
      </c>
      <c r="D26" s="12">
        <v>11</v>
      </c>
      <c r="E26" s="12">
        <v>0</v>
      </c>
      <c r="F26" s="12">
        <v>0</v>
      </c>
      <c r="G26" s="12">
        <v>15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/>
      <c r="W26" s="12">
        <v>0</v>
      </c>
      <c r="X26" s="12">
        <f t="shared" si="1"/>
        <v>140</v>
      </c>
      <c r="Y26" s="12">
        <f t="shared" si="2"/>
        <v>137</v>
      </c>
      <c r="Z26" s="12">
        <f t="shared" si="3"/>
        <v>3</v>
      </c>
      <c r="AA26" s="12">
        <v>257</v>
      </c>
      <c r="AB26" s="12">
        <f t="shared" si="4"/>
        <v>-117</v>
      </c>
      <c r="AC26" s="9">
        <v>0</v>
      </c>
      <c r="AD26" s="9">
        <v>0</v>
      </c>
      <c r="AE26" s="9">
        <v>0</v>
      </c>
      <c r="AF26" s="9">
        <v>0</v>
      </c>
    </row>
    <row r="27" spans="1:32" x14ac:dyDescent="0.25">
      <c r="A27" s="28" t="s">
        <v>58</v>
      </c>
      <c r="B27" s="29" t="s">
        <v>61</v>
      </c>
      <c r="C27" s="12">
        <v>17</v>
      </c>
      <c r="D27" s="12">
        <v>39</v>
      </c>
      <c r="E27" s="12">
        <v>0</v>
      </c>
      <c r="F27" s="12">
        <v>0</v>
      </c>
      <c r="G27" s="12">
        <v>17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/>
      <c r="W27" s="12">
        <v>0</v>
      </c>
      <c r="X27" s="12">
        <f t="shared" si="1"/>
        <v>496</v>
      </c>
      <c r="Y27" s="12">
        <f t="shared" si="2"/>
        <v>485</v>
      </c>
      <c r="Z27" s="12">
        <f t="shared" si="3"/>
        <v>11</v>
      </c>
      <c r="AA27" s="12">
        <v>720</v>
      </c>
      <c r="AB27" s="12">
        <f t="shared" si="4"/>
        <v>-224</v>
      </c>
      <c r="AC27" s="9">
        <v>0</v>
      </c>
      <c r="AD27" s="9">
        <v>0</v>
      </c>
      <c r="AE27" s="9">
        <v>0</v>
      </c>
      <c r="AF27" s="9">
        <v>0</v>
      </c>
    </row>
    <row r="28" spans="1:32" x14ac:dyDescent="0.25">
      <c r="A28" s="28" t="s">
        <v>58</v>
      </c>
      <c r="B28" s="29" t="s">
        <v>64</v>
      </c>
      <c r="C28" s="12">
        <v>1</v>
      </c>
      <c r="D28" s="12">
        <v>21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/>
      <c r="W28" s="12">
        <v>0</v>
      </c>
      <c r="X28" s="12">
        <f t="shared" si="1"/>
        <v>103</v>
      </c>
      <c r="Y28" s="12">
        <f t="shared" si="2"/>
        <v>101</v>
      </c>
      <c r="Z28" s="12">
        <f t="shared" si="3"/>
        <v>2</v>
      </c>
      <c r="AA28" s="12">
        <v>430</v>
      </c>
      <c r="AB28" s="12">
        <f t="shared" si="4"/>
        <v>-327</v>
      </c>
      <c r="AC28" s="9">
        <v>0</v>
      </c>
      <c r="AD28" s="9">
        <v>22</v>
      </c>
      <c r="AE28" s="9">
        <v>0</v>
      </c>
      <c r="AF28" s="9">
        <v>0</v>
      </c>
    </row>
    <row r="29" spans="1:32" x14ac:dyDescent="0.25">
      <c r="A29" s="28" t="s">
        <v>55</v>
      </c>
      <c r="B29" s="83" t="s">
        <v>409</v>
      </c>
      <c r="C29" s="12">
        <v>36</v>
      </c>
      <c r="D29" s="12">
        <v>86</v>
      </c>
      <c r="E29" s="12">
        <v>1</v>
      </c>
      <c r="F29" s="12">
        <v>116</v>
      </c>
      <c r="G29" s="12">
        <v>1</v>
      </c>
      <c r="H29" s="12">
        <v>1</v>
      </c>
      <c r="I29" s="12">
        <v>52</v>
      </c>
      <c r="J29" s="12">
        <v>21</v>
      </c>
      <c r="K29" s="12">
        <v>0</v>
      </c>
      <c r="L29" s="12">
        <v>0</v>
      </c>
      <c r="M29" s="12">
        <v>1</v>
      </c>
      <c r="N29" s="12">
        <v>81</v>
      </c>
      <c r="O29" s="12">
        <v>117</v>
      </c>
      <c r="P29" s="12">
        <v>44</v>
      </c>
      <c r="Q29" s="12">
        <v>115</v>
      </c>
      <c r="R29" s="12">
        <v>0</v>
      </c>
      <c r="S29" s="12">
        <v>101</v>
      </c>
      <c r="T29" s="12">
        <v>77</v>
      </c>
      <c r="U29" s="12">
        <v>546</v>
      </c>
      <c r="V29" s="12">
        <v>800</v>
      </c>
      <c r="W29" s="12">
        <v>982</v>
      </c>
      <c r="X29" s="173">
        <f>ROUND(C29*C$3+D29*D$3+E29*E$3+(F29-AC29-AE29-AD29)*F$3+G29*G$3+H29*H$3+I29*I$3+J29*J$3+K29*K$3+L29*L$3+M29*M$3+N29*N$3+O29*O$3+P29*P$3+Q29*Q$3+R29*R$3+S29*S$3+T29*T$3+(U29-AF29)*U$3+V29+W29,0)</f>
        <v>17609</v>
      </c>
      <c r="Y29" s="12">
        <f t="shared" si="2"/>
        <v>17226</v>
      </c>
      <c r="Z29" s="12">
        <f t="shared" si="3"/>
        <v>383</v>
      </c>
      <c r="AA29" s="12">
        <v>18453</v>
      </c>
      <c r="AB29" s="12">
        <f t="shared" si="4"/>
        <v>-844</v>
      </c>
      <c r="AC29" s="9">
        <v>77</v>
      </c>
      <c r="AD29" s="9">
        <v>0</v>
      </c>
      <c r="AE29" s="9">
        <v>17</v>
      </c>
      <c r="AF29" s="9">
        <v>307</v>
      </c>
    </row>
    <row r="30" spans="1:32" x14ac:dyDescent="0.25">
      <c r="A30" s="28" t="s">
        <v>55</v>
      </c>
      <c r="B30" s="29" t="s">
        <v>593</v>
      </c>
      <c r="C30" s="12">
        <v>10</v>
      </c>
      <c r="D30" s="12">
        <v>23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/>
      <c r="W30" s="12">
        <v>0</v>
      </c>
      <c r="X30" s="12">
        <f t="shared" si="1"/>
        <v>250</v>
      </c>
      <c r="Y30" s="12">
        <f t="shared" si="2"/>
        <v>245</v>
      </c>
      <c r="Z30" s="12">
        <f t="shared" si="3"/>
        <v>5</v>
      </c>
      <c r="AA30" s="12">
        <v>386</v>
      </c>
      <c r="AB30" s="12">
        <f t="shared" si="4"/>
        <v>-136</v>
      </c>
      <c r="AC30" s="9">
        <v>0</v>
      </c>
      <c r="AD30" s="9">
        <v>1</v>
      </c>
      <c r="AE30" s="9">
        <v>0</v>
      </c>
      <c r="AF30" s="9">
        <v>0</v>
      </c>
    </row>
    <row r="31" spans="1:32" x14ac:dyDescent="0.25">
      <c r="A31" s="28" t="s">
        <v>55</v>
      </c>
      <c r="B31" s="29" t="s">
        <v>397</v>
      </c>
      <c r="C31" s="12">
        <v>12</v>
      </c>
      <c r="D31" s="12">
        <v>51</v>
      </c>
      <c r="E31" s="12">
        <v>0</v>
      </c>
      <c r="F31" s="12">
        <v>0</v>
      </c>
      <c r="G31" s="12">
        <v>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/>
      <c r="W31" s="12">
        <v>0</v>
      </c>
      <c r="X31" s="12">
        <f t="shared" si="1"/>
        <v>402</v>
      </c>
      <c r="Y31" s="12">
        <f t="shared" si="2"/>
        <v>393</v>
      </c>
      <c r="Z31" s="12">
        <f t="shared" si="3"/>
        <v>9</v>
      </c>
      <c r="AA31" s="12">
        <v>960</v>
      </c>
      <c r="AB31" s="12">
        <f t="shared" si="4"/>
        <v>-558</v>
      </c>
      <c r="AC31" s="9">
        <v>0</v>
      </c>
      <c r="AD31" s="9">
        <v>16</v>
      </c>
      <c r="AE31" s="9">
        <v>0</v>
      </c>
      <c r="AF31" s="9">
        <v>0</v>
      </c>
    </row>
    <row r="32" spans="1:32" x14ac:dyDescent="0.25">
      <c r="A32" s="28" t="s">
        <v>52</v>
      </c>
      <c r="B32" s="29" t="s">
        <v>594</v>
      </c>
      <c r="C32" s="12">
        <v>22</v>
      </c>
      <c r="D32" s="12">
        <v>76</v>
      </c>
      <c r="E32" s="12">
        <v>0</v>
      </c>
      <c r="F32" s="12">
        <v>0</v>
      </c>
      <c r="G32" s="12">
        <v>2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/>
      <c r="W32" s="12">
        <v>0</v>
      </c>
      <c r="X32" s="12">
        <f t="shared" si="1"/>
        <v>665</v>
      </c>
      <c r="Y32" s="12">
        <f t="shared" si="2"/>
        <v>651</v>
      </c>
      <c r="Z32" s="12">
        <f t="shared" si="3"/>
        <v>14</v>
      </c>
      <c r="AA32" s="12">
        <v>1460</v>
      </c>
      <c r="AB32" s="12">
        <f t="shared" si="4"/>
        <v>-795</v>
      </c>
      <c r="AC32" s="9">
        <v>0</v>
      </c>
      <c r="AD32" s="9">
        <v>28</v>
      </c>
      <c r="AE32" s="9">
        <v>0</v>
      </c>
      <c r="AF32" s="9">
        <v>0</v>
      </c>
    </row>
    <row r="33" spans="1:32" x14ac:dyDescent="0.25">
      <c r="A33" s="28" t="s">
        <v>52</v>
      </c>
      <c r="B33" s="83" t="s">
        <v>51</v>
      </c>
      <c r="C33" s="12">
        <v>10</v>
      </c>
      <c r="D33" s="12">
        <v>60</v>
      </c>
      <c r="E33" s="12">
        <v>0</v>
      </c>
      <c r="F33" s="12">
        <v>292</v>
      </c>
      <c r="G33" s="12">
        <v>19</v>
      </c>
      <c r="H33" s="12">
        <v>3</v>
      </c>
      <c r="I33" s="12">
        <v>95</v>
      </c>
      <c r="J33" s="12">
        <v>19</v>
      </c>
      <c r="K33" s="12">
        <v>0</v>
      </c>
      <c r="L33" s="12">
        <v>0</v>
      </c>
      <c r="M33" s="12">
        <v>0</v>
      </c>
      <c r="N33" s="12">
        <v>101</v>
      </c>
      <c r="O33" s="12">
        <v>136</v>
      </c>
      <c r="P33" s="12">
        <v>31</v>
      </c>
      <c r="Q33" s="12">
        <v>104</v>
      </c>
      <c r="R33" s="12">
        <v>0</v>
      </c>
      <c r="S33" s="12">
        <v>40</v>
      </c>
      <c r="T33" s="12">
        <v>61</v>
      </c>
      <c r="U33" s="12">
        <v>221</v>
      </c>
      <c r="V33" s="12">
        <v>800</v>
      </c>
      <c r="W33" s="12">
        <v>253</v>
      </c>
      <c r="X33" s="173">
        <f>ROUND(C33*C$3+D33*D$3+E33*E$3+(F33-AC33-AE33-AD33)*F$3+G33*G$3+H33*H$3+I33*I$3+J33*J$3+K33*K$3+L33*L$3+M33*M$3+N33*N$3+O33*O$3+P33*P$3+Q33*Q$3+R33*R$3+S33*S$3+T33*T$3+(U33-AF33)*U$3+V33+W33,0)</f>
        <v>14313</v>
      </c>
      <c r="Y33" s="12">
        <f t="shared" si="2"/>
        <v>14002</v>
      </c>
      <c r="Z33" s="12">
        <f t="shared" si="3"/>
        <v>311</v>
      </c>
      <c r="AA33" s="12">
        <v>16107</v>
      </c>
      <c r="AB33" s="12">
        <f t="shared" si="4"/>
        <v>-1794</v>
      </c>
      <c r="AC33" s="9">
        <v>250</v>
      </c>
      <c r="AD33" s="9">
        <v>0</v>
      </c>
      <c r="AE33" s="9">
        <v>7</v>
      </c>
      <c r="AF33" s="9">
        <v>172</v>
      </c>
    </row>
    <row r="34" spans="1:32" x14ac:dyDescent="0.25">
      <c r="A34" s="28" t="s">
        <v>52</v>
      </c>
      <c r="B34" s="29" t="s">
        <v>370</v>
      </c>
      <c r="C34" s="12">
        <v>26</v>
      </c>
      <c r="D34" s="12">
        <v>74</v>
      </c>
      <c r="E34" s="12">
        <v>0</v>
      </c>
      <c r="F34" s="12">
        <v>0</v>
      </c>
      <c r="G34" s="12">
        <v>5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/>
      <c r="W34" s="12">
        <v>0</v>
      </c>
      <c r="X34" s="12">
        <f t="shared" si="1"/>
        <v>730</v>
      </c>
      <c r="Y34" s="12">
        <f t="shared" si="2"/>
        <v>714</v>
      </c>
      <c r="Z34" s="12">
        <f t="shared" si="3"/>
        <v>16</v>
      </c>
      <c r="AA34" s="12">
        <v>1614</v>
      </c>
      <c r="AB34" s="12">
        <f t="shared" si="4"/>
        <v>-884</v>
      </c>
      <c r="AC34" s="9">
        <v>0</v>
      </c>
      <c r="AD34" s="9">
        <v>18</v>
      </c>
      <c r="AE34" s="9">
        <v>0</v>
      </c>
      <c r="AF34" s="9">
        <v>0</v>
      </c>
    </row>
    <row r="35" spans="1:32" x14ac:dyDescent="0.25">
      <c r="A35" s="28" t="s">
        <v>47</v>
      </c>
      <c r="B35" s="83" t="s">
        <v>48</v>
      </c>
      <c r="C35" s="12">
        <v>20</v>
      </c>
      <c r="D35" s="12">
        <v>74</v>
      </c>
      <c r="E35" s="12">
        <v>1</v>
      </c>
      <c r="F35" s="12">
        <v>264</v>
      </c>
      <c r="G35" s="12">
        <v>9</v>
      </c>
      <c r="H35" s="12">
        <v>2</v>
      </c>
      <c r="I35" s="12">
        <v>110</v>
      </c>
      <c r="J35" s="12">
        <v>22</v>
      </c>
      <c r="K35" s="12">
        <v>0</v>
      </c>
      <c r="L35" s="12">
        <v>0</v>
      </c>
      <c r="M35" s="12">
        <v>2</v>
      </c>
      <c r="N35" s="12">
        <v>107</v>
      </c>
      <c r="O35" s="12">
        <v>156</v>
      </c>
      <c r="P35" s="12">
        <v>64</v>
      </c>
      <c r="Q35" s="12">
        <v>63</v>
      </c>
      <c r="R35" s="12">
        <v>0</v>
      </c>
      <c r="S35" s="12">
        <v>61</v>
      </c>
      <c r="T35" s="12">
        <v>96</v>
      </c>
      <c r="U35" s="12">
        <v>2412</v>
      </c>
      <c r="V35" s="12">
        <v>800</v>
      </c>
      <c r="W35" s="12">
        <v>12471</v>
      </c>
      <c r="X35" s="173">
        <f>ROUND(C35*C$3+D35*D$3+E35*E$3+(F35-AC35-AE35-AD35)*F$3+G35*G$3+H35*H$3+I35*I$3+J35*J$3+K35*K$3+L35*L$3+M35*M$3+N35*N$3+O35*O$3+P35*P$3+Q35*Q$3+R35*R$3+S35*S$3+T35*T$3+(U35-AF35)*U$3+V35+W35,0)</f>
        <v>34071</v>
      </c>
      <c r="Y35" s="12">
        <f t="shared" si="2"/>
        <v>33330</v>
      </c>
      <c r="Z35" s="12">
        <f t="shared" si="3"/>
        <v>741</v>
      </c>
      <c r="AA35" s="12">
        <v>34316</v>
      </c>
      <c r="AB35" s="12">
        <f t="shared" si="4"/>
        <v>-245</v>
      </c>
      <c r="AC35" s="9">
        <v>245</v>
      </c>
      <c r="AD35" s="9">
        <v>0</v>
      </c>
      <c r="AE35" s="9">
        <v>4</v>
      </c>
      <c r="AF35" s="9">
        <v>2034</v>
      </c>
    </row>
    <row r="36" spans="1:32" x14ac:dyDescent="0.25">
      <c r="A36" s="28" t="s">
        <v>47</v>
      </c>
      <c r="B36" s="29" t="s">
        <v>353</v>
      </c>
      <c r="C36" s="12">
        <v>9</v>
      </c>
      <c r="D36" s="12">
        <v>58</v>
      </c>
      <c r="E36" s="12">
        <v>0</v>
      </c>
      <c r="F36" s="12">
        <v>0</v>
      </c>
      <c r="G36" s="12">
        <v>2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/>
      <c r="W36" s="12">
        <v>0</v>
      </c>
      <c r="X36" s="12">
        <f t="shared" si="1"/>
        <v>390</v>
      </c>
      <c r="Y36" s="12">
        <f t="shared" si="2"/>
        <v>382</v>
      </c>
      <c r="Z36" s="12">
        <f t="shared" si="3"/>
        <v>8</v>
      </c>
      <c r="AA36" s="12">
        <v>854</v>
      </c>
      <c r="AB36" s="12">
        <f t="shared" si="4"/>
        <v>-464</v>
      </c>
      <c r="AC36" s="9">
        <v>0</v>
      </c>
      <c r="AD36" s="9">
        <v>4</v>
      </c>
      <c r="AE36" s="9">
        <v>0</v>
      </c>
      <c r="AF36" s="9">
        <v>0</v>
      </c>
    </row>
    <row r="37" spans="1:32" x14ac:dyDescent="0.25">
      <c r="A37" s="28" t="s">
        <v>47</v>
      </c>
      <c r="B37" s="29" t="s">
        <v>349</v>
      </c>
      <c r="C37" s="12">
        <v>0</v>
      </c>
      <c r="D37" s="12"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/>
      <c r="W37" s="12">
        <v>0</v>
      </c>
      <c r="X37" s="12">
        <f t="shared" si="1"/>
        <v>4</v>
      </c>
      <c r="Y37" s="12">
        <f t="shared" si="2"/>
        <v>4</v>
      </c>
      <c r="Z37" s="12">
        <f t="shared" si="3"/>
        <v>0</v>
      </c>
      <c r="AA37" s="12">
        <v>0</v>
      </c>
      <c r="AB37" s="12">
        <f t="shared" si="4"/>
        <v>4</v>
      </c>
      <c r="AC37" s="9">
        <v>0</v>
      </c>
      <c r="AD37" s="9">
        <v>0</v>
      </c>
      <c r="AE37" s="9">
        <v>0</v>
      </c>
      <c r="AF37" s="9">
        <v>0</v>
      </c>
    </row>
    <row r="38" spans="1:32" x14ac:dyDescent="0.25">
      <c r="A38" s="28" t="s">
        <v>38</v>
      </c>
      <c r="B38" s="29" t="s">
        <v>344</v>
      </c>
      <c r="C38" s="12">
        <v>3</v>
      </c>
      <c r="D38" s="12">
        <v>20</v>
      </c>
      <c r="E38" s="12">
        <v>0</v>
      </c>
      <c r="F38" s="12">
        <v>0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/>
      <c r="W38" s="12">
        <v>0</v>
      </c>
      <c r="X38" s="12">
        <f t="shared" si="1"/>
        <v>134</v>
      </c>
      <c r="Y38" s="12">
        <f t="shared" si="2"/>
        <v>131</v>
      </c>
      <c r="Z38" s="12">
        <f t="shared" si="3"/>
        <v>3</v>
      </c>
      <c r="AA38" s="12">
        <v>678</v>
      </c>
      <c r="AB38" s="12">
        <f t="shared" si="4"/>
        <v>-544</v>
      </c>
      <c r="AC38" s="9">
        <v>0</v>
      </c>
      <c r="AD38" s="9">
        <v>17</v>
      </c>
      <c r="AE38" s="9">
        <v>0</v>
      </c>
      <c r="AF38" s="9">
        <v>0</v>
      </c>
    </row>
    <row r="39" spans="1:32" x14ac:dyDescent="0.25">
      <c r="A39" s="28" t="s">
        <v>38</v>
      </c>
      <c r="B39" s="29" t="s">
        <v>342</v>
      </c>
      <c r="C39" s="12">
        <v>11</v>
      </c>
      <c r="D39" s="12">
        <v>38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/>
      <c r="W39" s="12">
        <v>0</v>
      </c>
      <c r="X39" s="12">
        <f t="shared" si="1"/>
        <v>328</v>
      </c>
      <c r="Y39" s="12">
        <f t="shared" si="2"/>
        <v>321</v>
      </c>
      <c r="Z39" s="12">
        <f t="shared" si="3"/>
        <v>7</v>
      </c>
      <c r="AA39" s="12">
        <v>791</v>
      </c>
      <c r="AB39" s="12">
        <f t="shared" si="4"/>
        <v>-463</v>
      </c>
      <c r="AC39" s="9">
        <v>0</v>
      </c>
      <c r="AD39" s="9">
        <v>8</v>
      </c>
      <c r="AE39" s="9">
        <v>0</v>
      </c>
      <c r="AF39" s="9">
        <v>0</v>
      </c>
    </row>
    <row r="40" spans="1:32" x14ac:dyDescent="0.25">
      <c r="A40" s="28" t="s">
        <v>38</v>
      </c>
      <c r="B40" s="29" t="s">
        <v>336</v>
      </c>
      <c r="C40" s="12">
        <v>10</v>
      </c>
      <c r="D40" s="12">
        <v>17</v>
      </c>
      <c r="E40" s="12">
        <v>0</v>
      </c>
      <c r="F40" s="12">
        <v>0</v>
      </c>
      <c r="G40" s="12">
        <v>1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/>
      <c r="W40" s="12">
        <v>0</v>
      </c>
      <c r="X40" s="12">
        <f t="shared" si="1"/>
        <v>229</v>
      </c>
      <c r="Y40" s="12">
        <f t="shared" si="2"/>
        <v>224</v>
      </c>
      <c r="Z40" s="12">
        <f t="shared" si="3"/>
        <v>5</v>
      </c>
      <c r="AA40" s="12">
        <v>749</v>
      </c>
      <c r="AB40" s="12">
        <f t="shared" si="4"/>
        <v>-520</v>
      </c>
      <c r="AC40" s="9">
        <v>0</v>
      </c>
      <c r="AD40" s="9">
        <v>3</v>
      </c>
      <c r="AE40" s="9">
        <v>0</v>
      </c>
      <c r="AF40" s="9">
        <v>0</v>
      </c>
    </row>
    <row r="41" spans="1:32" x14ac:dyDescent="0.25">
      <c r="A41" s="28" t="s">
        <v>38</v>
      </c>
      <c r="B41" s="83" t="s">
        <v>37</v>
      </c>
      <c r="C41" s="12">
        <v>42</v>
      </c>
      <c r="D41" s="12">
        <v>111</v>
      </c>
      <c r="E41" s="12">
        <v>0</v>
      </c>
      <c r="F41" s="12">
        <v>379</v>
      </c>
      <c r="G41" s="12">
        <v>5</v>
      </c>
      <c r="H41" s="12">
        <v>2</v>
      </c>
      <c r="I41" s="12">
        <v>251</v>
      </c>
      <c r="J41" s="12">
        <v>72</v>
      </c>
      <c r="K41" s="12">
        <v>0</v>
      </c>
      <c r="L41" s="12">
        <v>0</v>
      </c>
      <c r="M41" s="12">
        <v>14</v>
      </c>
      <c r="N41" s="12">
        <v>232</v>
      </c>
      <c r="O41" s="12">
        <v>364</v>
      </c>
      <c r="P41" s="12">
        <v>108</v>
      </c>
      <c r="Q41" s="12">
        <v>227</v>
      </c>
      <c r="R41" s="12">
        <v>0</v>
      </c>
      <c r="S41" s="12">
        <v>77</v>
      </c>
      <c r="T41" s="12">
        <v>373</v>
      </c>
      <c r="U41" s="12">
        <v>1013</v>
      </c>
      <c r="V41" s="12">
        <v>800</v>
      </c>
      <c r="W41" s="12">
        <v>1119</v>
      </c>
      <c r="X41" s="173">
        <f>ROUND(C41*C$3+D41*D$3+E41*E$3+(F41-AC41-AE41-AD41)*F$3+G41*G$3+H41*H$3+I41*I$3+J41*J$3+K41*K$3+L41*L$3+M41*M$3+N41*N$3+O41*O$3+P41*P$3+Q41*Q$3+R41*R$3+S41*S$3+T41*T$3+(U41-AF41)*U$3+V41+W41,0)</f>
        <v>48438</v>
      </c>
      <c r="Y41" s="12">
        <f t="shared" si="2"/>
        <v>47385</v>
      </c>
      <c r="Z41" s="12">
        <f t="shared" si="3"/>
        <v>1053</v>
      </c>
      <c r="AA41" s="12">
        <v>44894</v>
      </c>
      <c r="AB41" s="12">
        <f t="shared" si="4"/>
        <v>3544</v>
      </c>
      <c r="AC41" s="9">
        <v>269</v>
      </c>
      <c r="AD41" s="9">
        <v>0</v>
      </c>
      <c r="AE41" s="9">
        <v>70</v>
      </c>
      <c r="AF41" s="9">
        <v>391</v>
      </c>
    </row>
    <row r="42" spans="1:32" x14ac:dyDescent="0.25">
      <c r="A42" s="28" t="s">
        <v>38</v>
      </c>
      <c r="B42" s="29" t="s">
        <v>328</v>
      </c>
      <c r="C42" s="12">
        <v>36</v>
      </c>
      <c r="D42" s="12">
        <v>61</v>
      </c>
      <c r="E42" s="12">
        <v>0</v>
      </c>
      <c r="F42" s="12">
        <v>0</v>
      </c>
      <c r="G42" s="12">
        <v>4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/>
      <c r="W42" s="12">
        <v>0</v>
      </c>
      <c r="X42" s="12">
        <f t="shared" si="1"/>
        <v>825</v>
      </c>
      <c r="Y42" s="12">
        <f t="shared" si="2"/>
        <v>807</v>
      </c>
      <c r="Z42" s="12">
        <f t="shared" si="3"/>
        <v>18</v>
      </c>
      <c r="AA42" s="12">
        <v>1670</v>
      </c>
      <c r="AB42" s="12">
        <f t="shared" si="4"/>
        <v>-845</v>
      </c>
      <c r="AC42" s="9">
        <v>0</v>
      </c>
      <c r="AD42" s="9">
        <v>120</v>
      </c>
      <c r="AE42" s="9">
        <v>0</v>
      </c>
      <c r="AF42" s="9">
        <v>0</v>
      </c>
    </row>
    <row r="43" spans="1:32" x14ac:dyDescent="0.25">
      <c r="A43" s="28" t="s">
        <v>38</v>
      </c>
      <c r="B43" s="29" t="s">
        <v>324</v>
      </c>
      <c r="C43" s="12">
        <v>16</v>
      </c>
      <c r="D43" s="12">
        <v>40</v>
      </c>
      <c r="E43" s="12">
        <v>0</v>
      </c>
      <c r="F43" s="12">
        <v>0</v>
      </c>
      <c r="G43" s="12">
        <v>6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/>
      <c r="W43" s="12">
        <v>0</v>
      </c>
      <c r="X43" s="12">
        <f t="shared" si="1"/>
        <v>439</v>
      </c>
      <c r="Y43" s="12">
        <f t="shared" si="2"/>
        <v>429</v>
      </c>
      <c r="Z43" s="12">
        <f t="shared" si="3"/>
        <v>10</v>
      </c>
      <c r="AA43" s="12">
        <v>865</v>
      </c>
      <c r="AB43" s="12">
        <f t="shared" si="4"/>
        <v>-426</v>
      </c>
      <c r="AC43" s="9">
        <v>0</v>
      </c>
      <c r="AD43" s="9">
        <v>11</v>
      </c>
      <c r="AE43" s="9">
        <v>0</v>
      </c>
      <c r="AF43" s="9">
        <v>0</v>
      </c>
    </row>
    <row r="44" spans="1:32" x14ac:dyDescent="0.25">
      <c r="A44" s="28" t="s">
        <v>38</v>
      </c>
      <c r="B44" s="29" t="s">
        <v>322</v>
      </c>
      <c r="C44" s="12">
        <v>11</v>
      </c>
      <c r="D44" s="12">
        <v>20</v>
      </c>
      <c r="E44" s="12">
        <v>0</v>
      </c>
      <c r="F44" s="12">
        <v>0</v>
      </c>
      <c r="G44" s="12">
        <v>3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/>
      <c r="W44" s="12">
        <v>0</v>
      </c>
      <c r="X44" s="12">
        <f t="shared" si="1"/>
        <v>265</v>
      </c>
      <c r="Y44" s="12">
        <f t="shared" si="2"/>
        <v>259</v>
      </c>
      <c r="Z44" s="12">
        <f t="shared" si="3"/>
        <v>6</v>
      </c>
      <c r="AA44" s="12">
        <v>759</v>
      </c>
      <c r="AB44" s="12">
        <f t="shared" si="4"/>
        <v>-494</v>
      </c>
      <c r="AC44" s="9">
        <v>0</v>
      </c>
      <c r="AD44" s="9">
        <v>58</v>
      </c>
      <c r="AE44" s="9">
        <v>0</v>
      </c>
      <c r="AF44" s="9">
        <v>0</v>
      </c>
    </row>
    <row r="45" spans="1:32" x14ac:dyDescent="0.25">
      <c r="A45" s="28" t="s">
        <v>38</v>
      </c>
      <c r="B45" s="29" t="s">
        <v>320</v>
      </c>
      <c r="C45" s="12">
        <v>5</v>
      </c>
      <c r="D45" s="12">
        <v>49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/>
      <c r="W45" s="12">
        <v>0</v>
      </c>
      <c r="X45" s="12">
        <f t="shared" si="1"/>
        <v>282</v>
      </c>
      <c r="Y45" s="12">
        <f t="shared" si="2"/>
        <v>276</v>
      </c>
      <c r="Z45" s="12">
        <f t="shared" si="3"/>
        <v>6</v>
      </c>
      <c r="AA45" s="12">
        <v>907</v>
      </c>
      <c r="AB45" s="12">
        <f t="shared" si="4"/>
        <v>-625</v>
      </c>
      <c r="AC45" s="9">
        <v>0</v>
      </c>
      <c r="AD45" s="9">
        <v>5</v>
      </c>
      <c r="AE45" s="9">
        <v>0</v>
      </c>
      <c r="AF45" s="9">
        <v>0</v>
      </c>
    </row>
    <row r="46" spans="1:32" x14ac:dyDescent="0.25">
      <c r="A46" s="28" t="s">
        <v>35</v>
      </c>
      <c r="B46" s="29" t="s">
        <v>316</v>
      </c>
      <c r="C46" s="12">
        <v>11</v>
      </c>
      <c r="D46" s="12">
        <v>44</v>
      </c>
      <c r="E46" s="12">
        <v>0</v>
      </c>
      <c r="F46" s="12">
        <v>0</v>
      </c>
      <c r="G46" s="12">
        <v>1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/>
      <c r="W46" s="12">
        <v>0</v>
      </c>
      <c r="X46" s="12">
        <f t="shared" si="1"/>
        <v>358</v>
      </c>
      <c r="Y46" s="12">
        <f t="shared" si="2"/>
        <v>350</v>
      </c>
      <c r="Z46" s="12">
        <f t="shared" si="3"/>
        <v>8</v>
      </c>
      <c r="AA46" s="12">
        <v>645</v>
      </c>
      <c r="AB46" s="12">
        <f t="shared" si="4"/>
        <v>-287</v>
      </c>
      <c r="AC46" s="9">
        <v>0</v>
      </c>
      <c r="AD46" s="9">
        <v>4</v>
      </c>
      <c r="AE46" s="9">
        <v>0</v>
      </c>
      <c r="AF46" s="9">
        <v>0</v>
      </c>
    </row>
    <row r="47" spans="1:32" x14ac:dyDescent="0.25">
      <c r="A47" s="28" t="s">
        <v>35</v>
      </c>
      <c r="B47" s="83" t="s">
        <v>304</v>
      </c>
      <c r="C47" s="12">
        <v>17</v>
      </c>
      <c r="D47" s="12">
        <v>83</v>
      </c>
      <c r="E47" s="12">
        <v>0</v>
      </c>
      <c r="F47" s="12">
        <v>118</v>
      </c>
      <c r="G47" s="12">
        <v>7</v>
      </c>
      <c r="H47" s="12">
        <v>2</v>
      </c>
      <c r="I47" s="12">
        <v>45</v>
      </c>
      <c r="J47" s="12">
        <v>12</v>
      </c>
      <c r="K47" s="12">
        <v>0</v>
      </c>
      <c r="L47" s="12">
        <v>0</v>
      </c>
      <c r="M47" s="12">
        <v>7</v>
      </c>
      <c r="N47" s="12">
        <v>56</v>
      </c>
      <c r="O47" s="12">
        <v>94</v>
      </c>
      <c r="P47" s="12">
        <v>29</v>
      </c>
      <c r="Q47" s="12">
        <v>101</v>
      </c>
      <c r="R47" s="12">
        <v>0</v>
      </c>
      <c r="S47" s="12">
        <v>43</v>
      </c>
      <c r="T47" s="12">
        <v>134</v>
      </c>
      <c r="U47" s="12">
        <v>2215</v>
      </c>
      <c r="V47" s="12">
        <v>800</v>
      </c>
      <c r="W47" s="12">
        <v>11142</v>
      </c>
      <c r="X47" s="173">
        <f>ROUND(C47*C$3+D47*D$3+E47*E$3+(F47-AC47-AE47-AD47)*F$3+G47*G$3+H47*H$3+I47*I$3+J47*J$3+K47*K$3+L47*L$3+M47*M$3+N47*N$3+O47*O$3+P47*P$3+Q47*Q$3+R47*R$3+S47*S$3+T47*T$3+(U47-AF47)*U$3+V47+W47,0)</f>
        <v>31297</v>
      </c>
      <c r="Y47" s="12">
        <f t="shared" si="2"/>
        <v>30617</v>
      </c>
      <c r="Z47" s="12">
        <f t="shared" si="3"/>
        <v>680</v>
      </c>
      <c r="AA47" s="12">
        <v>26189</v>
      </c>
      <c r="AB47" s="12">
        <f t="shared" si="4"/>
        <v>5108</v>
      </c>
      <c r="AC47" s="9">
        <v>109</v>
      </c>
      <c r="AD47" s="9">
        <v>0</v>
      </c>
      <c r="AE47" s="9">
        <v>1</v>
      </c>
      <c r="AF47" s="9">
        <v>1660</v>
      </c>
    </row>
    <row r="48" spans="1:32" x14ac:dyDescent="0.25">
      <c r="A48" s="28" t="s">
        <v>35</v>
      </c>
      <c r="B48" s="29" t="s">
        <v>302</v>
      </c>
      <c r="C48" s="12">
        <v>9</v>
      </c>
      <c r="D48" s="12">
        <v>36</v>
      </c>
      <c r="E48" s="12">
        <v>0</v>
      </c>
      <c r="F48" s="12">
        <v>0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/>
      <c r="W48" s="12">
        <v>0</v>
      </c>
      <c r="X48" s="12">
        <f t="shared" si="1"/>
        <v>293</v>
      </c>
      <c r="Y48" s="12">
        <f t="shared" si="2"/>
        <v>287</v>
      </c>
      <c r="Z48" s="12">
        <f t="shared" si="3"/>
        <v>6</v>
      </c>
      <c r="AA48" s="12">
        <v>663</v>
      </c>
      <c r="AB48" s="12">
        <f t="shared" si="4"/>
        <v>-370</v>
      </c>
      <c r="AC48" s="9">
        <v>0</v>
      </c>
      <c r="AD48" s="9">
        <v>0</v>
      </c>
      <c r="AE48" s="9">
        <v>0</v>
      </c>
      <c r="AF48" s="9">
        <v>0</v>
      </c>
    </row>
    <row r="49" spans="1:32" x14ac:dyDescent="0.25">
      <c r="A49" s="28" t="s">
        <v>28</v>
      </c>
      <c r="B49" s="29" t="s">
        <v>283</v>
      </c>
      <c r="C49" s="12">
        <v>9</v>
      </c>
      <c r="D49" s="12">
        <v>29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/>
      <c r="W49" s="12">
        <v>0</v>
      </c>
      <c r="X49" s="12">
        <f t="shared" si="1"/>
        <v>260</v>
      </c>
      <c r="Y49" s="12">
        <f t="shared" si="2"/>
        <v>254</v>
      </c>
      <c r="Z49" s="12">
        <f t="shared" si="3"/>
        <v>6</v>
      </c>
      <c r="AA49" s="12">
        <v>751</v>
      </c>
      <c r="AB49" s="12">
        <f t="shared" si="4"/>
        <v>-491</v>
      </c>
      <c r="AC49" s="9">
        <v>0</v>
      </c>
      <c r="AD49" s="9">
        <v>0</v>
      </c>
      <c r="AE49" s="9">
        <v>0</v>
      </c>
      <c r="AF49" s="9">
        <v>0</v>
      </c>
    </row>
    <row r="50" spans="1:32" x14ac:dyDescent="0.25">
      <c r="A50" s="28" t="s">
        <v>28</v>
      </c>
      <c r="B50" s="29" t="s">
        <v>281</v>
      </c>
      <c r="C50" s="12">
        <v>0</v>
      </c>
      <c r="D50" s="12">
        <v>7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/>
      <c r="W50" s="12">
        <v>0</v>
      </c>
      <c r="X50" s="12">
        <f t="shared" si="1"/>
        <v>29</v>
      </c>
      <c r="Y50" s="12">
        <f t="shared" si="2"/>
        <v>28</v>
      </c>
      <c r="Z50" s="12">
        <f t="shared" si="3"/>
        <v>1</v>
      </c>
      <c r="AA50" s="12">
        <v>137</v>
      </c>
      <c r="AB50" s="12">
        <f t="shared" si="4"/>
        <v>-108</v>
      </c>
      <c r="AC50" s="9">
        <v>0</v>
      </c>
      <c r="AD50" s="9">
        <v>0</v>
      </c>
      <c r="AE50" s="9">
        <v>0</v>
      </c>
      <c r="AF50" s="9">
        <v>0</v>
      </c>
    </row>
    <row r="51" spans="1:32" x14ac:dyDescent="0.25">
      <c r="A51" s="28" t="s">
        <v>28</v>
      </c>
      <c r="B51" s="29" t="s">
        <v>595</v>
      </c>
      <c r="C51" s="12">
        <v>7</v>
      </c>
      <c r="D51" s="12">
        <v>33</v>
      </c>
      <c r="E51" s="12">
        <v>0</v>
      </c>
      <c r="F51" s="12">
        <v>0</v>
      </c>
      <c r="G51" s="12">
        <v>3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/>
      <c r="W51" s="12">
        <v>0</v>
      </c>
      <c r="X51" s="12">
        <f t="shared" si="1"/>
        <v>258</v>
      </c>
      <c r="Y51" s="12">
        <f t="shared" si="2"/>
        <v>252</v>
      </c>
      <c r="Z51" s="12">
        <f t="shared" si="3"/>
        <v>6</v>
      </c>
      <c r="AA51" s="12">
        <v>573</v>
      </c>
      <c r="AB51" s="12">
        <f t="shared" si="4"/>
        <v>-315</v>
      </c>
      <c r="AC51" s="9">
        <v>3</v>
      </c>
      <c r="AD51" s="9">
        <v>1</v>
      </c>
      <c r="AE51" s="9">
        <v>0</v>
      </c>
      <c r="AF51" s="9">
        <v>0</v>
      </c>
    </row>
    <row r="52" spans="1:32" x14ac:dyDescent="0.25">
      <c r="A52" s="28" t="s">
        <v>28</v>
      </c>
      <c r="B52" s="29" t="s">
        <v>596</v>
      </c>
      <c r="C52" s="12">
        <v>13</v>
      </c>
      <c r="D52" s="12">
        <v>57</v>
      </c>
      <c r="E52" s="12">
        <v>0</v>
      </c>
      <c r="F52" s="12">
        <v>0</v>
      </c>
      <c r="G52" s="12">
        <v>5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/>
      <c r="W52" s="12">
        <v>0</v>
      </c>
      <c r="X52" s="12">
        <f t="shared" si="1"/>
        <v>459</v>
      </c>
      <c r="Y52" s="12">
        <f t="shared" si="2"/>
        <v>449</v>
      </c>
      <c r="Z52" s="12">
        <f t="shared" si="3"/>
        <v>10</v>
      </c>
      <c r="AA52" s="12">
        <v>1063</v>
      </c>
      <c r="AB52" s="12">
        <f t="shared" si="4"/>
        <v>-604</v>
      </c>
      <c r="AC52" s="9">
        <v>0</v>
      </c>
      <c r="AD52" s="9">
        <v>11</v>
      </c>
      <c r="AE52" s="9">
        <v>0</v>
      </c>
      <c r="AF52" s="9">
        <v>0</v>
      </c>
    </row>
    <row r="53" spans="1:32" x14ac:dyDescent="0.25">
      <c r="A53" s="28" t="s">
        <v>28</v>
      </c>
      <c r="B53" s="83" t="s">
        <v>30</v>
      </c>
      <c r="C53" s="12">
        <v>82</v>
      </c>
      <c r="D53" s="12">
        <v>326</v>
      </c>
      <c r="E53" s="12">
        <v>3</v>
      </c>
      <c r="F53" s="12">
        <v>759</v>
      </c>
      <c r="G53" s="12">
        <v>60</v>
      </c>
      <c r="H53" s="12">
        <v>11</v>
      </c>
      <c r="I53" s="12">
        <v>330</v>
      </c>
      <c r="J53" s="12">
        <v>111</v>
      </c>
      <c r="K53" s="12">
        <v>140</v>
      </c>
      <c r="L53" s="12">
        <v>1</v>
      </c>
      <c r="M53" s="12">
        <v>1</v>
      </c>
      <c r="N53" s="12">
        <v>446</v>
      </c>
      <c r="O53" s="12">
        <v>811</v>
      </c>
      <c r="P53" s="12">
        <v>218</v>
      </c>
      <c r="Q53" s="12">
        <v>297</v>
      </c>
      <c r="R53" s="12">
        <v>1</v>
      </c>
      <c r="S53" s="12">
        <v>40</v>
      </c>
      <c r="T53" s="12">
        <v>391</v>
      </c>
      <c r="U53" s="12">
        <v>2501</v>
      </c>
      <c r="V53" s="12">
        <v>800</v>
      </c>
      <c r="W53" s="12">
        <v>4695</v>
      </c>
      <c r="X53" s="173">
        <f>ROUND(C53*C$3+D53*D$3+E53*E$3+(F53-AC53-AE53-AD53)*F$3+G53*G$3+H53*H$3+I53*I$3+J53*J$3+K53*K$3+L53*L$3+M53*M$3+N53*N$3+O53*O$3+P53*P$3+Q53*Q$3+R53*R$3+S53*S$3+T53*T$3+(U53-AF53)*U$3+V53+W53,0)</f>
        <v>81348</v>
      </c>
      <c r="Y53" s="12">
        <f t="shared" si="2"/>
        <v>79580</v>
      </c>
      <c r="Z53" s="12">
        <f t="shared" si="3"/>
        <v>1768</v>
      </c>
      <c r="AA53" s="12">
        <v>95846</v>
      </c>
      <c r="AB53" s="12">
        <f t="shared" si="4"/>
        <v>-14498</v>
      </c>
      <c r="AC53" s="9">
        <v>615</v>
      </c>
      <c r="AD53" s="9">
        <v>0</v>
      </c>
      <c r="AE53" s="9">
        <v>3</v>
      </c>
      <c r="AF53" s="9">
        <v>1306</v>
      </c>
    </row>
    <row r="54" spans="1:32" x14ac:dyDescent="0.25">
      <c r="A54" s="28" t="s">
        <v>28</v>
      </c>
      <c r="B54" s="29" t="s">
        <v>275</v>
      </c>
      <c r="C54" s="12">
        <v>9</v>
      </c>
      <c r="D54" s="12">
        <v>25</v>
      </c>
      <c r="E54" s="12">
        <v>0</v>
      </c>
      <c r="F54" s="12">
        <v>0</v>
      </c>
      <c r="G54" s="12">
        <v>2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/>
      <c r="W54" s="12">
        <v>0</v>
      </c>
      <c r="X54" s="12">
        <f t="shared" si="1"/>
        <v>251</v>
      </c>
      <c r="Y54" s="12">
        <f t="shared" si="2"/>
        <v>246</v>
      </c>
      <c r="Z54" s="12">
        <f t="shared" si="3"/>
        <v>5</v>
      </c>
      <c r="AA54" s="12">
        <v>603</v>
      </c>
      <c r="AB54" s="12">
        <f t="shared" si="4"/>
        <v>-352</v>
      </c>
      <c r="AC54" s="9">
        <v>0</v>
      </c>
      <c r="AD54" s="9">
        <v>4</v>
      </c>
      <c r="AE54" s="9">
        <v>0</v>
      </c>
      <c r="AF54" s="9">
        <v>0</v>
      </c>
    </row>
    <row r="55" spans="1:32" x14ac:dyDescent="0.25">
      <c r="A55" s="28" t="s">
        <v>28</v>
      </c>
      <c r="B55" s="29" t="s">
        <v>265</v>
      </c>
      <c r="C55" s="12">
        <v>16</v>
      </c>
      <c r="D55" s="12">
        <v>121</v>
      </c>
      <c r="E55" s="12">
        <v>0</v>
      </c>
      <c r="F55" s="12">
        <v>0</v>
      </c>
      <c r="G55" s="12">
        <v>3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/>
      <c r="W55" s="12">
        <v>0</v>
      </c>
      <c r="X55" s="12">
        <f t="shared" si="1"/>
        <v>765</v>
      </c>
      <c r="Y55" s="12">
        <f t="shared" si="2"/>
        <v>748</v>
      </c>
      <c r="Z55" s="12">
        <f t="shared" si="3"/>
        <v>17</v>
      </c>
      <c r="AA55" s="12">
        <v>1704</v>
      </c>
      <c r="AB55" s="12">
        <f t="shared" si="4"/>
        <v>-939</v>
      </c>
      <c r="AC55" s="9">
        <v>0</v>
      </c>
      <c r="AD55" s="9">
        <v>0</v>
      </c>
      <c r="AE55" s="9">
        <v>0</v>
      </c>
      <c r="AF55" s="9">
        <v>0</v>
      </c>
    </row>
    <row r="56" spans="1:32" x14ac:dyDescent="0.25">
      <c r="A56" s="28" t="s">
        <v>24</v>
      </c>
      <c r="B56" s="29" t="s">
        <v>249</v>
      </c>
      <c r="C56" s="12">
        <v>6</v>
      </c>
      <c r="D56" s="12">
        <v>41</v>
      </c>
      <c r="E56" s="12">
        <v>0</v>
      </c>
      <c r="F56" s="12">
        <v>0</v>
      </c>
      <c r="G56" s="12">
        <v>5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/>
      <c r="W56" s="12">
        <v>0</v>
      </c>
      <c r="X56" s="12">
        <f t="shared" si="1"/>
        <v>285</v>
      </c>
      <c r="Y56" s="12">
        <f t="shared" si="2"/>
        <v>279</v>
      </c>
      <c r="Z56" s="12">
        <f t="shared" si="3"/>
        <v>6</v>
      </c>
      <c r="AA56" s="12">
        <v>697</v>
      </c>
      <c r="AB56" s="12">
        <f t="shared" si="4"/>
        <v>-412</v>
      </c>
      <c r="AC56" s="9">
        <v>0</v>
      </c>
      <c r="AD56" s="9">
        <v>16</v>
      </c>
      <c r="AE56" s="9">
        <v>0</v>
      </c>
      <c r="AF56" s="9">
        <v>0</v>
      </c>
    </row>
    <row r="57" spans="1:32" x14ac:dyDescent="0.25">
      <c r="A57" s="28" t="s">
        <v>24</v>
      </c>
      <c r="B57" s="29" t="s">
        <v>247</v>
      </c>
      <c r="C57" s="12">
        <v>12</v>
      </c>
      <c r="D57" s="12">
        <v>58</v>
      </c>
      <c r="E57" s="12">
        <v>0</v>
      </c>
      <c r="F57" s="12">
        <v>0</v>
      </c>
      <c r="G57" s="12">
        <v>5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/>
      <c r="W57" s="12">
        <v>0</v>
      </c>
      <c r="X57" s="12">
        <f t="shared" si="1"/>
        <v>448</v>
      </c>
      <c r="Y57" s="12">
        <f t="shared" si="2"/>
        <v>438</v>
      </c>
      <c r="Z57" s="12">
        <f t="shared" si="3"/>
        <v>10</v>
      </c>
      <c r="AA57" s="12">
        <v>1436</v>
      </c>
      <c r="AB57" s="12">
        <f t="shared" si="4"/>
        <v>-988</v>
      </c>
      <c r="AC57" s="9">
        <v>0</v>
      </c>
      <c r="AD57" s="9">
        <v>31</v>
      </c>
      <c r="AE57" s="9">
        <v>0</v>
      </c>
      <c r="AF57" s="9">
        <v>0</v>
      </c>
    </row>
    <row r="58" spans="1:32" x14ac:dyDescent="0.25">
      <c r="A58" s="28" t="s">
        <v>24</v>
      </c>
      <c r="B58" s="29" t="s">
        <v>243</v>
      </c>
      <c r="C58" s="12">
        <v>17</v>
      </c>
      <c r="D58" s="12">
        <v>49</v>
      </c>
      <c r="E58" s="12">
        <v>0</v>
      </c>
      <c r="F58" s="12">
        <v>0</v>
      </c>
      <c r="G58" s="12">
        <v>2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/>
      <c r="W58" s="12">
        <v>0</v>
      </c>
      <c r="X58" s="12">
        <f t="shared" si="1"/>
        <v>475</v>
      </c>
      <c r="Y58" s="12">
        <f t="shared" si="2"/>
        <v>465</v>
      </c>
      <c r="Z58" s="12">
        <f t="shared" si="3"/>
        <v>10</v>
      </c>
      <c r="AA58" s="12">
        <v>1080</v>
      </c>
      <c r="AB58" s="12">
        <f t="shared" si="4"/>
        <v>-605</v>
      </c>
      <c r="AC58" s="9">
        <v>0</v>
      </c>
      <c r="AD58" s="9">
        <v>56</v>
      </c>
      <c r="AE58" s="9">
        <v>0</v>
      </c>
      <c r="AF58" s="9">
        <v>0</v>
      </c>
    </row>
    <row r="59" spans="1:32" x14ac:dyDescent="0.25">
      <c r="A59" s="28" t="s">
        <v>24</v>
      </c>
      <c r="B59" s="83" t="s">
        <v>239</v>
      </c>
      <c r="C59" s="12">
        <v>24</v>
      </c>
      <c r="D59" s="12">
        <v>98</v>
      </c>
      <c r="E59" s="12">
        <v>0</v>
      </c>
      <c r="F59" s="12">
        <v>169</v>
      </c>
      <c r="G59" s="12">
        <v>10</v>
      </c>
      <c r="H59" s="12">
        <v>1</v>
      </c>
      <c r="I59" s="12">
        <v>100</v>
      </c>
      <c r="J59" s="12">
        <v>23</v>
      </c>
      <c r="K59" s="12">
        <v>0</v>
      </c>
      <c r="L59" s="12">
        <v>0</v>
      </c>
      <c r="M59" s="12">
        <v>11</v>
      </c>
      <c r="N59" s="12">
        <v>157</v>
      </c>
      <c r="O59" s="12">
        <v>138</v>
      </c>
      <c r="P59" s="12">
        <v>54</v>
      </c>
      <c r="Q59" s="12">
        <v>115</v>
      </c>
      <c r="R59" s="12">
        <v>0</v>
      </c>
      <c r="S59" s="12">
        <v>61</v>
      </c>
      <c r="T59" s="12">
        <v>74</v>
      </c>
      <c r="U59" s="12">
        <v>2049</v>
      </c>
      <c r="V59" s="12">
        <v>800</v>
      </c>
      <c r="W59" s="12">
        <v>6602</v>
      </c>
      <c r="X59" s="173">
        <f>ROUND(C59*C$3+D59*D$3+E59*E$3+(F59-AC59-AE59-AD59)*F$3+G59*G$3+H59*H$3+I59*I$3+J59*J$3+K59*K$3+L59*L$3+M59*M$3+N59*N$3+O59*O$3+P59*P$3+Q59*Q$3+R59*R$3+S59*S$3+T59*T$3+(U59-AF59)*U$3+V59+W59,0)</f>
        <v>34963</v>
      </c>
      <c r="Y59" s="12">
        <f t="shared" si="2"/>
        <v>34203</v>
      </c>
      <c r="Z59" s="12">
        <f t="shared" si="3"/>
        <v>760</v>
      </c>
      <c r="AA59" s="12">
        <v>35976</v>
      </c>
      <c r="AB59" s="12">
        <f t="shared" si="4"/>
        <v>-1013</v>
      </c>
      <c r="AC59" s="9">
        <v>80</v>
      </c>
      <c r="AD59" s="9">
        <v>0</v>
      </c>
      <c r="AE59" s="9">
        <v>79</v>
      </c>
      <c r="AF59" s="9">
        <v>1285</v>
      </c>
    </row>
    <row r="60" spans="1:32" x14ac:dyDescent="0.25">
      <c r="A60" s="28" t="s">
        <v>20</v>
      </c>
      <c r="B60" s="29" t="s">
        <v>225</v>
      </c>
      <c r="C60" s="12">
        <v>5</v>
      </c>
      <c r="D60" s="12">
        <v>16</v>
      </c>
      <c r="E60" s="12">
        <v>0</v>
      </c>
      <c r="F60" s="12">
        <v>0</v>
      </c>
      <c r="G60" s="12">
        <v>1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/>
      <c r="W60" s="12">
        <v>0</v>
      </c>
      <c r="X60" s="12">
        <f t="shared" si="1"/>
        <v>148</v>
      </c>
      <c r="Y60" s="12">
        <f t="shared" si="2"/>
        <v>145</v>
      </c>
      <c r="Z60" s="12">
        <f t="shared" si="3"/>
        <v>3</v>
      </c>
      <c r="AA60" s="12">
        <v>309</v>
      </c>
      <c r="AB60" s="12">
        <f t="shared" si="4"/>
        <v>-161</v>
      </c>
      <c r="AC60" s="9">
        <v>0</v>
      </c>
      <c r="AD60" s="9">
        <v>0</v>
      </c>
      <c r="AE60" s="9">
        <v>0</v>
      </c>
      <c r="AF60" s="9">
        <v>0</v>
      </c>
    </row>
    <row r="61" spans="1:32" x14ac:dyDescent="0.25">
      <c r="A61" s="32" t="s">
        <v>20</v>
      </c>
      <c r="B61" s="29" t="s">
        <v>215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/>
      <c r="W61" s="12">
        <v>0</v>
      </c>
      <c r="X61" s="12">
        <f t="shared" si="1"/>
        <v>0</v>
      </c>
      <c r="Y61" s="12">
        <f t="shared" si="2"/>
        <v>0</v>
      </c>
      <c r="Z61" s="12">
        <f t="shared" si="3"/>
        <v>0</v>
      </c>
      <c r="AA61" s="12">
        <v>41</v>
      </c>
      <c r="AB61" s="12">
        <f t="shared" si="4"/>
        <v>-41</v>
      </c>
      <c r="AC61" s="9">
        <v>0</v>
      </c>
      <c r="AD61" s="9">
        <v>0</v>
      </c>
      <c r="AE61" s="9">
        <v>0</v>
      </c>
      <c r="AF61" s="9">
        <v>0</v>
      </c>
    </row>
    <row r="62" spans="1:32" x14ac:dyDescent="0.25">
      <c r="A62" s="32" t="s">
        <v>20</v>
      </c>
      <c r="B62" s="83" t="s">
        <v>597</v>
      </c>
      <c r="C62" s="12">
        <v>46</v>
      </c>
      <c r="D62" s="12">
        <v>241</v>
      </c>
      <c r="E62" s="12">
        <v>0</v>
      </c>
      <c r="F62" s="12">
        <v>300</v>
      </c>
      <c r="G62" s="12">
        <v>22</v>
      </c>
      <c r="H62" s="12">
        <v>3</v>
      </c>
      <c r="I62" s="12">
        <v>134</v>
      </c>
      <c r="J62" s="12">
        <v>32</v>
      </c>
      <c r="K62" s="12">
        <v>0</v>
      </c>
      <c r="L62" s="12">
        <v>0</v>
      </c>
      <c r="M62" s="12">
        <v>18</v>
      </c>
      <c r="N62" s="12">
        <v>116</v>
      </c>
      <c r="O62" s="12">
        <v>266</v>
      </c>
      <c r="P62" s="12">
        <v>79</v>
      </c>
      <c r="Q62" s="12">
        <v>128</v>
      </c>
      <c r="R62" s="12">
        <v>0</v>
      </c>
      <c r="S62" s="12">
        <v>58</v>
      </c>
      <c r="T62" s="12">
        <v>105</v>
      </c>
      <c r="U62" s="12">
        <v>437</v>
      </c>
      <c r="V62" s="12">
        <v>800</v>
      </c>
      <c r="W62" s="12">
        <v>444</v>
      </c>
      <c r="X62" s="173">
        <f>ROUND(C62*C$3+D62*D$3+E62*E$3+(F62-AC62-AE62-AD62)*F$3+G62*G$3+H62*H$3+I62*I$3+J62*J$3+K62*K$3+L62*L$3+M62*M$3+N62*N$3+O62*O$3+P62*P$3+Q62*Q$3+R62*R$3+S62*S$3+T62*T$3+(U62-AF62)*U$3+V62+W62,0)</f>
        <v>23897</v>
      </c>
      <c r="Y62" s="12">
        <f t="shared" si="2"/>
        <v>23377</v>
      </c>
      <c r="Z62" s="12">
        <f t="shared" si="3"/>
        <v>520</v>
      </c>
      <c r="AA62" s="12">
        <v>25838</v>
      </c>
      <c r="AB62" s="12">
        <f t="shared" si="4"/>
        <v>-1941</v>
      </c>
      <c r="AC62" s="9">
        <v>278</v>
      </c>
      <c r="AD62" s="9">
        <v>0</v>
      </c>
      <c r="AE62" s="9">
        <v>0</v>
      </c>
      <c r="AF62" s="9">
        <v>284</v>
      </c>
    </row>
    <row r="63" spans="1:32" x14ac:dyDescent="0.25">
      <c r="A63" s="28" t="s">
        <v>13</v>
      </c>
      <c r="B63" s="29" t="s">
        <v>598</v>
      </c>
      <c r="C63" s="12">
        <v>16</v>
      </c>
      <c r="D63" s="12">
        <v>129</v>
      </c>
      <c r="E63" s="12">
        <v>0</v>
      </c>
      <c r="F63" s="12">
        <v>0</v>
      </c>
      <c r="G63" s="12">
        <v>2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/>
      <c r="W63" s="12">
        <v>0</v>
      </c>
      <c r="X63" s="12">
        <f t="shared" si="1"/>
        <v>795</v>
      </c>
      <c r="Y63" s="12">
        <f t="shared" si="2"/>
        <v>778</v>
      </c>
      <c r="Z63" s="12">
        <f t="shared" si="3"/>
        <v>17</v>
      </c>
      <c r="AA63" s="12">
        <v>2497</v>
      </c>
      <c r="AB63" s="12">
        <f t="shared" si="4"/>
        <v>-1702</v>
      </c>
      <c r="AC63" s="9">
        <v>0</v>
      </c>
      <c r="AD63" s="9">
        <v>38</v>
      </c>
      <c r="AE63" s="9">
        <v>0</v>
      </c>
      <c r="AF63" s="9">
        <v>0</v>
      </c>
    </row>
    <row r="64" spans="1:32" x14ac:dyDescent="0.25">
      <c r="A64" s="28" t="s">
        <v>13</v>
      </c>
      <c r="B64" s="29" t="s">
        <v>198</v>
      </c>
      <c r="C64" s="12">
        <v>11</v>
      </c>
      <c r="D64" s="12">
        <v>155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/>
      <c r="W64" s="12">
        <v>0</v>
      </c>
      <c r="X64" s="12">
        <f t="shared" si="1"/>
        <v>818</v>
      </c>
      <c r="Y64" s="12">
        <f t="shared" si="2"/>
        <v>800</v>
      </c>
      <c r="Z64" s="12">
        <f t="shared" si="3"/>
        <v>18</v>
      </c>
      <c r="AA64" s="12">
        <v>2712</v>
      </c>
      <c r="AB64" s="12">
        <f t="shared" si="4"/>
        <v>-1894</v>
      </c>
      <c r="AC64" s="9">
        <v>0</v>
      </c>
      <c r="AD64" s="9">
        <v>4</v>
      </c>
      <c r="AE64" s="9">
        <v>0</v>
      </c>
      <c r="AF64" s="9">
        <v>0</v>
      </c>
    </row>
    <row r="65" spans="1:32" x14ac:dyDescent="0.25">
      <c r="A65" s="28" t="s">
        <v>13</v>
      </c>
      <c r="B65" s="29" t="s">
        <v>599</v>
      </c>
      <c r="C65" s="12">
        <v>11</v>
      </c>
      <c r="D65" s="12">
        <v>75</v>
      </c>
      <c r="E65" s="12">
        <v>0</v>
      </c>
      <c r="F65" s="12">
        <v>0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/>
      <c r="W65" s="12">
        <v>0</v>
      </c>
      <c r="X65" s="12">
        <f t="shared" si="1"/>
        <v>487</v>
      </c>
      <c r="Y65" s="12">
        <f t="shared" si="2"/>
        <v>476</v>
      </c>
      <c r="Z65" s="12">
        <f t="shared" si="3"/>
        <v>11</v>
      </c>
      <c r="AA65" s="12">
        <v>1219</v>
      </c>
      <c r="AB65" s="12">
        <f t="shared" si="4"/>
        <v>-732</v>
      </c>
      <c r="AC65" s="9">
        <v>0</v>
      </c>
      <c r="AD65" s="9">
        <v>0</v>
      </c>
      <c r="AE65" s="9">
        <v>0</v>
      </c>
      <c r="AF65" s="9">
        <v>0</v>
      </c>
    </row>
    <row r="66" spans="1:32" x14ac:dyDescent="0.25">
      <c r="A66" s="28" t="s">
        <v>13</v>
      </c>
      <c r="B66" s="29" t="s">
        <v>192</v>
      </c>
      <c r="C66" s="12">
        <v>6</v>
      </c>
      <c r="D66" s="12">
        <v>72</v>
      </c>
      <c r="E66" s="12">
        <v>0</v>
      </c>
      <c r="F66" s="12">
        <v>0</v>
      </c>
      <c r="G66" s="12">
        <v>2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/>
      <c r="W66" s="12">
        <v>0</v>
      </c>
      <c r="X66" s="12">
        <f t="shared" si="1"/>
        <v>402</v>
      </c>
      <c r="Y66" s="12">
        <f t="shared" si="2"/>
        <v>393</v>
      </c>
      <c r="Z66" s="12">
        <f t="shared" si="3"/>
        <v>9</v>
      </c>
      <c r="AA66" s="12">
        <v>1233</v>
      </c>
      <c r="AB66" s="12">
        <f t="shared" si="4"/>
        <v>-831</v>
      </c>
      <c r="AC66" s="9">
        <v>0</v>
      </c>
      <c r="AD66" s="9">
        <v>1</v>
      </c>
      <c r="AE66" s="9">
        <v>0</v>
      </c>
      <c r="AF66" s="9">
        <v>0</v>
      </c>
    </row>
    <row r="67" spans="1:32" x14ac:dyDescent="0.25">
      <c r="A67" s="28" t="s">
        <v>13</v>
      </c>
      <c r="B67" s="29" t="s">
        <v>186</v>
      </c>
      <c r="C67" s="12">
        <v>0</v>
      </c>
      <c r="D67" s="12">
        <v>49</v>
      </c>
      <c r="E67" s="12">
        <v>0</v>
      </c>
      <c r="F67" s="12">
        <v>0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/>
      <c r="W67" s="12">
        <v>0</v>
      </c>
      <c r="X67" s="12">
        <f t="shared" si="1"/>
        <v>210</v>
      </c>
      <c r="Y67" s="12">
        <f t="shared" si="2"/>
        <v>205</v>
      </c>
      <c r="Z67" s="12">
        <f t="shared" si="3"/>
        <v>5</v>
      </c>
      <c r="AA67" s="12">
        <v>573</v>
      </c>
      <c r="AB67" s="12">
        <f t="shared" si="4"/>
        <v>-363</v>
      </c>
      <c r="AC67" s="9">
        <v>0</v>
      </c>
      <c r="AD67" s="9">
        <v>0</v>
      </c>
      <c r="AE67" s="9">
        <v>0</v>
      </c>
      <c r="AF67" s="9">
        <v>0</v>
      </c>
    </row>
    <row r="68" spans="1:32" x14ac:dyDescent="0.25">
      <c r="A68" s="28" t="s">
        <v>13</v>
      </c>
      <c r="B68" s="29" t="s">
        <v>184</v>
      </c>
      <c r="C68" s="12">
        <v>6</v>
      </c>
      <c r="D68" s="12">
        <v>30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/>
      <c r="W68" s="12">
        <v>0</v>
      </c>
      <c r="X68" s="12">
        <f t="shared" si="1"/>
        <v>218</v>
      </c>
      <c r="Y68" s="12">
        <f t="shared" si="2"/>
        <v>213</v>
      </c>
      <c r="Z68" s="12">
        <f t="shared" si="3"/>
        <v>5</v>
      </c>
      <c r="AA68" s="12">
        <v>612</v>
      </c>
      <c r="AB68" s="12">
        <f t="shared" si="4"/>
        <v>-394</v>
      </c>
      <c r="AC68" s="9">
        <v>0</v>
      </c>
      <c r="AD68" s="9">
        <v>0</v>
      </c>
      <c r="AE68" s="9">
        <v>0</v>
      </c>
      <c r="AF68" s="9">
        <v>0</v>
      </c>
    </row>
    <row r="69" spans="1:32" x14ac:dyDescent="0.25">
      <c r="A69" s="28" t="s">
        <v>13</v>
      </c>
      <c r="B69" s="29" t="s">
        <v>174</v>
      </c>
      <c r="C69" s="12">
        <v>12</v>
      </c>
      <c r="D69" s="12">
        <v>159</v>
      </c>
      <c r="E69" s="12">
        <v>0</v>
      </c>
      <c r="F69" s="12">
        <v>0</v>
      </c>
      <c r="G69" s="12">
        <v>2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/>
      <c r="W69" s="12">
        <v>0</v>
      </c>
      <c r="X69" s="12">
        <f t="shared" ref="X69:X81" si="5">ROUND(C69*C$3+D69*D$3+E69*E$3+F69*F$3+G69*G$3+H69*H$3+I69*I$3+J69*J$3+K69*K$3+L69*L$3+M69*M$3+N69*N$3+O69*O$3+P69*P$3+Q69*Q$3+R69*R$3+S69*S$3+T69*T$3+U69*U$3+V69+W69,0)</f>
        <v>859</v>
      </c>
      <c r="Y69" s="12">
        <f t="shared" ref="Y69:Y82" si="6">ROUND(X69/X$83*Y$84,0)</f>
        <v>840</v>
      </c>
      <c r="Z69" s="12">
        <f t="shared" ref="Z69:Z82" si="7">X69-Y69</f>
        <v>19</v>
      </c>
      <c r="AA69" s="12">
        <v>2725</v>
      </c>
      <c r="AB69" s="12">
        <f t="shared" ref="AB69:AB82" si="8">X69-AA69</f>
        <v>-1866</v>
      </c>
      <c r="AC69" s="9">
        <v>0</v>
      </c>
      <c r="AD69" s="9">
        <v>0</v>
      </c>
      <c r="AE69" s="9">
        <v>0</v>
      </c>
      <c r="AF69" s="9">
        <v>0</v>
      </c>
    </row>
    <row r="70" spans="1:32" x14ac:dyDescent="0.25">
      <c r="A70" s="28" t="s">
        <v>13</v>
      </c>
      <c r="B70" s="83" t="s">
        <v>15</v>
      </c>
      <c r="C70" s="12">
        <v>151</v>
      </c>
      <c r="D70" s="12">
        <v>738</v>
      </c>
      <c r="E70" s="12">
        <v>5</v>
      </c>
      <c r="F70" s="12">
        <v>1656</v>
      </c>
      <c r="G70" s="12">
        <v>604</v>
      </c>
      <c r="H70" s="12">
        <v>21</v>
      </c>
      <c r="I70" s="12">
        <v>729</v>
      </c>
      <c r="J70" s="12">
        <v>244</v>
      </c>
      <c r="K70" s="12">
        <v>352</v>
      </c>
      <c r="L70" s="12">
        <v>5</v>
      </c>
      <c r="M70" s="12">
        <v>156</v>
      </c>
      <c r="N70" s="12">
        <v>1079</v>
      </c>
      <c r="O70" s="12">
        <v>1124</v>
      </c>
      <c r="P70" s="12">
        <v>553</v>
      </c>
      <c r="Q70" s="12">
        <v>426</v>
      </c>
      <c r="R70" s="12">
        <v>0</v>
      </c>
      <c r="S70" s="12">
        <v>64</v>
      </c>
      <c r="T70" s="12">
        <v>526</v>
      </c>
      <c r="U70" s="12">
        <v>3300</v>
      </c>
      <c r="V70" s="12">
        <v>1400</v>
      </c>
      <c r="W70" s="12">
        <v>7143</v>
      </c>
      <c r="X70" s="173">
        <f>ROUND(C70*C$3+D70*D$3+E70*E$3+(F70-AC70-AE70-AD70)*F$3+G70*G$3+H70*H$3+I70*I$3+J70*J$3+K70*K$3+L70*L$3+M70*M$3+N70*N$3+O70*O$3+P70*P$3+Q70*Q$3+R70*R$3+S70*S$3+T70*T$3+(U70-AF70)*U$3+V70+W70,0)</f>
        <v>147965</v>
      </c>
      <c r="Y70" s="12">
        <f t="shared" si="6"/>
        <v>144748</v>
      </c>
      <c r="Z70" s="12">
        <f t="shared" si="7"/>
        <v>3217</v>
      </c>
      <c r="AA70" s="12">
        <v>154972</v>
      </c>
      <c r="AB70" s="12">
        <f t="shared" si="8"/>
        <v>-7007</v>
      </c>
      <c r="AC70" s="9">
        <v>1133</v>
      </c>
      <c r="AD70" s="9">
        <v>0</v>
      </c>
      <c r="AE70" s="9">
        <v>0</v>
      </c>
      <c r="AF70" s="9">
        <v>2139</v>
      </c>
    </row>
    <row r="71" spans="1:32" x14ac:dyDescent="0.25">
      <c r="A71" s="28" t="s">
        <v>10</v>
      </c>
      <c r="B71" s="29" t="s">
        <v>154</v>
      </c>
      <c r="C71" s="12">
        <v>17</v>
      </c>
      <c r="D71" s="12">
        <v>61</v>
      </c>
      <c r="E71" s="12">
        <v>0</v>
      </c>
      <c r="F71" s="12">
        <v>0</v>
      </c>
      <c r="G71" s="12">
        <v>2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/>
      <c r="W71" s="12">
        <v>0</v>
      </c>
      <c r="X71" s="12">
        <f t="shared" si="5"/>
        <v>525</v>
      </c>
      <c r="Y71" s="12">
        <f t="shared" si="6"/>
        <v>514</v>
      </c>
      <c r="Z71" s="12">
        <f t="shared" si="7"/>
        <v>11</v>
      </c>
      <c r="AA71" s="12">
        <v>1126</v>
      </c>
      <c r="AB71" s="12">
        <f t="shared" si="8"/>
        <v>-601</v>
      </c>
      <c r="AC71" s="9">
        <v>0</v>
      </c>
      <c r="AD71" s="9">
        <v>31</v>
      </c>
      <c r="AE71" s="9">
        <v>0</v>
      </c>
      <c r="AF71" s="9">
        <v>0</v>
      </c>
    </row>
    <row r="72" spans="1:32" x14ac:dyDescent="0.25">
      <c r="A72" s="28" t="s">
        <v>10</v>
      </c>
      <c r="B72" s="29" t="s">
        <v>600</v>
      </c>
      <c r="C72" s="12">
        <v>7</v>
      </c>
      <c r="D72" s="12">
        <v>29</v>
      </c>
      <c r="E72" s="12">
        <v>0</v>
      </c>
      <c r="F72" s="12">
        <v>0</v>
      </c>
      <c r="G72" s="12">
        <v>1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/>
      <c r="W72" s="12">
        <v>0</v>
      </c>
      <c r="X72" s="12">
        <f t="shared" si="5"/>
        <v>233</v>
      </c>
      <c r="Y72" s="12">
        <f t="shared" si="6"/>
        <v>228</v>
      </c>
      <c r="Z72" s="12">
        <f t="shared" si="7"/>
        <v>5</v>
      </c>
      <c r="AA72" s="12">
        <v>703</v>
      </c>
      <c r="AB72" s="12">
        <f t="shared" si="8"/>
        <v>-470</v>
      </c>
      <c r="AC72" s="9">
        <v>0</v>
      </c>
      <c r="AD72" s="9">
        <v>12</v>
      </c>
      <c r="AE72" s="9">
        <v>0</v>
      </c>
      <c r="AF72" s="9">
        <v>0</v>
      </c>
    </row>
    <row r="73" spans="1:32" x14ac:dyDescent="0.25">
      <c r="A73" s="28" t="s">
        <v>10</v>
      </c>
      <c r="B73" s="83" t="s">
        <v>601</v>
      </c>
      <c r="C73" s="12">
        <v>39</v>
      </c>
      <c r="D73" s="12">
        <v>73</v>
      </c>
      <c r="E73" s="12">
        <v>1</v>
      </c>
      <c r="F73" s="12">
        <v>350</v>
      </c>
      <c r="G73" s="12">
        <v>37</v>
      </c>
      <c r="H73" s="12">
        <v>4</v>
      </c>
      <c r="I73" s="12">
        <v>67</v>
      </c>
      <c r="J73" s="12">
        <v>20</v>
      </c>
      <c r="K73" s="12">
        <v>0</v>
      </c>
      <c r="L73" s="12">
        <v>0</v>
      </c>
      <c r="M73" s="12">
        <v>3</v>
      </c>
      <c r="N73" s="12">
        <v>60</v>
      </c>
      <c r="O73" s="12">
        <v>184</v>
      </c>
      <c r="P73" s="12">
        <v>114</v>
      </c>
      <c r="Q73" s="12">
        <v>121</v>
      </c>
      <c r="R73" s="12">
        <v>0</v>
      </c>
      <c r="S73" s="12">
        <v>56</v>
      </c>
      <c r="T73" s="12">
        <v>116</v>
      </c>
      <c r="U73" s="12">
        <v>393</v>
      </c>
      <c r="V73" s="12">
        <v>800</v>
      </c>
      <c r="W73" s="12">
        <v>294</v>
      </c>
      <c r="X73" s="173">
        <f>ROUND(C73*C$3+D73*D$3+E73*E$3+(F73-AC73-AE73-AD73)*F$3+G73*G$3+H73*H$3+I73*I$3+J73*J$3+K73*K$3+L73*L$3+M73*M$3+N73*N$3+O73*O$3+P73*P$3+Q73*Q$3+R73*R$3+S73*S$3+T73*T$3+(U73-AF73)*U$3+V73+W73,0)</f>
        <v>19960</v>
      </c>
      <c r="Y73" s="12">
        <f t="shared" si="6"/>
        <v>19526</v>
      </c>
      <c r="Z73" s="12">
        <f t="shared" si="7"/>
        <v>434</v>
      </c>
      <c r="AA73" s="12">
        <v>21234</v>
      </c>
      <c r="AB73" s="12">
        <f t="shared" si="8"/>
        <v>-1274</v>
      </c>
      <c r="AC73" s="9">
        <v>174</v>
      </c>
      <c r="AD73" s="9">
        <v>0</v>
      </c>
      <c r="AE73" s="9">
        <v>24</v>
      </c>
      <c r="AF73" s="9">
        <v>184</v>
      </c>
    </row>
    <row r="74" spans="1:32" x14ac:dyDescent="0.25">
      <c r="A74" s="28" t="s">
        <v>6</v>
      </c>
      <c r="B74" s="29" t="s">
        <v>602</v>
      </c>
      <c r="C74" s="12">
        <v>22</v>
      </c>
      <c r="D74" s="12">
        <v>32</v>
      </c>
      <c r="E74" s="12">
        <v>0</v>
      </c>
      <c r="F74" s="12">
        <v>0</v>
      </c>
      <c r="G74" s="12">
        <v>1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/>
      <c r="W74" s="12">
        <v>0</v>
      </c>
      <c r="X74" s="12">
        <f t="shared" si="5"/>
        <v>476</v>
      </c>
      <c r="Y74" s="12">
        <f t="shared" si="6"/>
        <v>466</v>
      </c>
      <c r="Z74" s="12">
        <f t="shared" si="7"/>
        <v>10</v>
      </c>
      <c r="AA74" s="12">
        <v>722</v>
      </c>
      <c r="AB74" s="12">
        <f t="shared" si="8"/>
        <v>-246</v>
      </c>
      <c r="AC74" s="9">
        <v>0</v>
      </c>
      <c r="AD74" s="9">
        <v>0</v>
      </c>
      <c r="AE74" s="9">
        <v>0</v>
      </c>
      <c r="AF74" s="9">
        <v>0</v>
      </c>
    </row>
    <row r="75" spans="1:32" x14ac:dyDescent="0.25">
      <c r="A75" s="28" t="s">
        <v>6</v>
      </c>
      <c r="B75" s="29" t="s">
        <v>603</v>
      </c>
      <c r="C75" s="12">
        <v>14</v>
      </c>
      <c r="D75" s="12">
        <v>43</v>
      </c>
      <c r="E75" s="12">
        <v>0</v>
      </c>
      <c r="F75" s="12">
        <v>0</v>
      </c>
      <c r="G75" s="12">
        <v>5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/>
      <c r="W75" s="12">
        <v>0</v>
      </c>
      <c r="X75" s="12">
        <f t="shared" si="5"/>
        <v>416</v>
      </c>
      <c r="Y75" s="12">
        <f t="shared" si="6"/>
        <v>407</v>
      </c>
      <c r="Z75" s="12">
        <f t="shared" si="7"/>
        <v>9</v>
      </c>
      <c r="AA75" s="12">
        <v>949</v>
      </c>
      <c r="AB75" s="12">
        <f t="shared" si="8"/>
        <v>-533</v>
      </c>
      <c r="AC75" s="9">
        <v>0</v>
      </c>
      <c r="AD75" s="9">
        <v>0</v>
      </c>
      <c r="AE75" s="9">
        <v>0</v>
      </c>
      <c r="AF75" s="9">
        <v>0</v>
      </c>
    </row>
    <row r="76" spans="1:32" x14ac:dyDescent="0.25">
      <c r="A76" s="28" t="s">
        <v>6</v>
      </c>
      <c r="B76" s="29" t="s">
        <v>117</v>
      </c>
      <c r="C76" s="12">
        <v>15</v>
      </c>
      <c r="D76" s="12">
        <v>87</v>
      </c>
      <c r="E76" s="12">
        <v>0</v>
      </c>
      <c r="F76" s="12">
        <v>0</v>
      </c>
      <c r="G76" s="12">
        <v>2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/>
      <c r="W76" s="12">
        <v>0</v>
      </c>
      <c r="X76" s="12">
        <f t="shared" si="5"/>
        <v>603</v>
      </c>
      <c r="Y76" s="12">
        <f t="shared" si="6"/>
        <v>590</v>
      </c>
      <c r="Z76" s="12">
        <f t="shared" si="7"/>
        <v>13</v>
      </c>
      <c r="AA76" s="12">
        <v>1815</v>
      </c>
      <c r="AB76" s="12">
        <f t="shared" si="8"/>
        <v>-1212</v>
      </c>
      <c r="AC76" s="9">
        <v>0</v>
      </c>
      <c r="AD76" s="9">
        <v>2</v>
      </c>
      <c r="AE76" s="9">
        <v>0</v>
      </c>
      <c r="AF76" s="9">
        <v>0</v>
      </c>
    </row>
    <row r="77" spans="1:32" x14ac:dyDescent="0.25">
      <c r="A77" s="28" t="s">
        <v>6</v>
      </c>
      <c r="B77" s="83" t="s">
        <v>5</v>
      </c>
      <c r="C77" s="12">
        <v>31</v>
      </c>
      <c r="D77" s="12">
        <v>108</v>
      </c>
      <c r="E77" s="12">
        <v>0</v>
      </c>
      <c r="F77" s="12">
        <v>266</v>
      </c>
      <c r="G77" s="12">
        <v>15</v>
      </c>
      <c r="H77" s="12">
        <v>0</v>
      </c>
      <c r="I77" s="12">
        <v>158</v>
      </c>
      <c r="J77" s="12">
        <v>48</v>
      </c>
      <c r="K77" s="12">
        <v>0</v>
      </c>
      <c r="L77" s="12">
        <v>0</v>
      </c>
      <c r="M77" s="12">
        <v>6</v>
      </c>
      <c r="N77" s="12">
        <v>151</v>
      </c>
      <c r="O77" s="12">
        <v>249</v>
      </c>
      <c r="P77" s="12">
        <v>93</v>
      </c>
      <c r="Q77" s="12">
        <v>222</v>
      </c>
      <c r="R77" s="12">
        <v>0</v>
      </c>
      <c r="S77" s="12">
        <v>78</v>
      </c>
      <c r="T77" s="12">
        <v>89</v>
      </c>
      <c r="U77" s="12">
        <v>1741</v>
      </c>
      <c r="V77" s="12">
        <v>800</v>
      </c>
      <c r="W77" s="12">
        <v>4822</v>
      </c>
      <c r="X77" s="173">
        <f>ROUND(C77*C$3+D77*D$3+E77*E$3+(F77-AC77-AE77-AD77)*F$3+G77*G$3+H77*H$3+I77*I$3+J77*J$3+K77*K$3+L77*L$3+M77*M$3+N77*N$3+O77*O$3+P77*P$3+Q77*Q$3+R77*R$3+S77*S$3+T77*T$3+(U77-AF77)*U$3+V77+W77,0)</f>
        <v>41071</v>
      </c>
      <c r="Y77" s="12">
        <f t="shared" si="6"/>
        <v>40178</v>
      </c>
      <c r="Z77" s="12">
        <f t="shared" si="7"/>
        <v>893</v>
      </c>
      <c r="AA77" s="12">
        <v>44546</v>
      </c>
      <c r="AB77" s="12">
        <f t="shared" si="8"/>
        <v>-3475</v>
      </c>
      <c r="AC77" s="9">
        <v>231</v>
      </c>
      <c r="AD77" s="9">
        <v>0</v>
      </c>
      <c r="AE77" s="9">
        <v>0</v>
      </c>
      <c r="AF77" s="9">
        <v>1000</v>
      </c>
    </row>
    <row r="78" spans="1:32" x14ac:dyDescent="0.25">
      <c r="A78" s="28" t="s">
        <v>1</v>
      </c>
      <c r="B78" s="29" t="s">
        <v>114</v>
      </c>
      <c r="C78" s="12">
        <v>3</v>
      </c>
      <c r="D78" s="12">
        <v>32</v>
      </c>
      <c r="E78" s="12">
        <v>0</v>
      </c>
      <c r="F78" s="12">
        <v>0</v>
      </c>
      <c r="G78" s="12">
        <v>3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/>
      <c r="W78" s="12">
        <v>0</v>
      </c>
      <c r="X78" s="12">
        <f t="shared" si="5"/>
        <v>193</v>
      </c>
      <c r="Y78" s="12">
        <f t="shared" si="6"/>
        <v>189</v>
      </c>
      <c r="Z78" s="12">
        <f t="shared" si="7"/>
        <v>4</v>
      </c>
      <c r="AA78" s="12">
        <v>394</v>
      </c>
      <c r="AB78" s="12">
        <f t="shared" si="8"/>
        <v>-201</v>
      </c>
      <c r="AC78" s="9">
        <v>0</v>
      </c>
      <c r="AD78" s="9">
        <v>2</v>
      </c>
      <c r="AE78" s="9">
        <v>0</v>
      </c>
      <c r="AF78" s="9">
        <v>0</v>
      </c>
    </row>
    <row r="79" spans="1:32" x14ac:dyDescent="0.25">
      <c r="A79" s="28" t="s">
        <v>1</v>
      </c>
      <c r="B79" s="29" t="s">
        <v>102</v>
      </c>
      <c r="C79" s="12">
        <v>5</v>
      </c>
      <c r="D79" s="12">
        <v>31</v>
      </c>
      <c r="E79" s="12">
        <v>0</v>
      </c>
      <c r="F79" s="12">
        <v>0</v>
      </c>
      <c r="G79" s="12">
        <v>11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/>
      <c r="W79" s="12">
        <v>0</v>
      </c>
      <c r="X79" s="12">
        <f t="shared" si="5"/>
        <v>253</v>
      </c>
      <c r="Y79" s="12">
        <f t="shared" si="6"/>
        <v>247</v>
      </c>
      <c r="Z79" s="12">
        <f t="shared" si="7"/>
        <v>6</v>
      </c>
      <c r="AA79" s="12">
        <v>509</v>
      </c>
      <c r="AB79" s="12">
        <f t="shared" si="8"/>
        <v>-256</v>
      </c>
      <c r="AC79" s="9">
        <v>0</v>
      </c>
      <c r="AD79" s="9">
        <v>0</v>
      </c>
      <c r="AE79" s="9">
        <v>0</v>
      </c>
      <c r="AF79" s="9">
        <v>0</v>
      </c>
    </row>
    <row r="80" spans="1:32" x14ac:dyDescent="0.25">
      <c r="A80" s="28" t="s">
        <v>1</v>
      </c>
      <c r="B80" s="29" t="s">
        <v>604</v>
      </c>
      <c r="C80" s="12">
        <v>3</v>
      </c>
      <c r="D80" s="12">
        <v>13</v>
      </c>
      <c r="E80" s="12">
        <v>0</v>
      </c>
      <c r="F80" s="12">
        <v>0</v>
      </c>
      <c r="G80" s="12">
        <v>1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/>
      <c r="W80" s="12">
        <v>0</v>
      </c>
      <c r="X80" s="12">
        <f t="shared" si="5"/>
        <v>105</v>
      </c>
      <c r="Y80" s="12">
        <f t="shared" si="6"/>
        <v>103</v>
      </c>
      <c r="Z80" s="12">
        <f t="shared" si="7"/>
        <v>2</v>
      </c>
      <c r="AA80" s="12">
        <v>390</v>
      </c>
      <c r="AB80" s="12">
        <f t="shared" si="8"/>
        <v>-285</v>
      </c>
      <c r="AC80" s="9">
        <v>0</v>
      </c>
      <c r="AD80" s="9">
        <v>0</v>
      </c>
      <c r="AE80" s="9">
        <v>0</v>
      </c>
      <c r="AF80" s="9">
        <v>0</v>
      </c>
    </row>
    <row r="81" spans="1:32" x14ac:dyDescent="0.25">
      <c r="A81" s="28" t="s">
        <v>1</v>
      </c>
      <c r="B81" s="29" t="s">
        <v>92</v>
      </c>
      <c r="C81" s="12">
        <v>22</v>
      </c>
      <c r="D81" s="12">
        <v>65</v>
      </c>
      <c r="E81" s="12">
        <v>0</v>
      </c>
      <c r="F81" s="12">
        <v>0</v>
      </c>
      <c r="G81" s="12">
        <v>2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/>
      <c r="W81" s="12">
        <v>0</v>
      </c>
      <c r="X81" s="12">
        <f t="shared" si="5"/>
        <v>619</v>
      </c>
      <c r="Y81" s="12">
        <f t="shared" si="6"/>
        <v>606</v>
      </c>
      <c r="Z81" s="12">
        <f t="shared" si="7"/>
        <v>13</v>
      </c>
      <c r="AA81" s="12">
        <v>2375</v>
      </c>
      <c r="AB81" s="12">
        <f t="shared" si="8"/>
        <v>-1756</v>
      </c>
      <c r="AC81" s="9">
        <v>127</v>
      </c>
      <c r="AD81" s="9">
        <v>0</v>
      </c>
      <c r="AE81" s="9">
        <v>2</v>
      </c>
      <c r="AF81" s="9">
        <v>0</v>
      </c>
    </row>
    <row r="82" spans="1:32" x14ac:dyDescent="0.25">
      <c r="A82" s="28" t="s">
        <v>1</v>
      </c>
      <c r="B82" s="83" t="s">
        <v>0</v>
      </c>
      <c r="C82" s="12">
        <v>17</v>
      </c>
      <c r="D82" s="12">
        <v>83</v>
      </c>
      <c r="E82" s="12">
        <v>0</v>
      </c>
      <c r="F82" s="12">
        <v>269</v>
      </c>
      <c r="G82" s="12">
        <v>4</v>
      </c>
      <c r="H82" s="12">
        <v>5</v>
      </c>
      <c r="I82" s="12">
        <v>109</v>
      </c>
      <c r="J82" s="12">
        <v>30</v>
      </c>
      <c r="K82" s="12">
        <v>0</v>
      </c>
      <c r="L82" s="12">
        <v>0</v>
      </c>
      <c r="M82" s="12">
        <v>11</v>
      </c>
      <c r="N82" s="12">
        <v>92</v>
      </c>
      <c r="O82" s="12">
        <v>186</v>
      </c>
      <c r="P82" s="12">
        <v>68</v>
      </c>
      <c r="Q82" s="12">
        <v>158</v>
      </c>
      <c r="R82" s="12">
        <v>0</v>
      </c>
      <c r="S82" s="12">
        <v>54</v>
      </c>
      <c r="T82" s="12">
        <v>90</v>
      </c>
      <c r="U82" s="12">
        <v>829</v>
      </c>
      <c r="V82" s="12">
        <v>800</v>
      </c>
      <c r="W82" s="12">
        <v>580</v>
      </c>
      <c r="X82" s="173">
        <f>ROUND(C82*C$3+D82*D$3+E82*E$3+(F82-AC82-AE82-AD82)*F$3+G82*G$3+H82*H$3+I82*I$3+J82*J$3+K82*K$3+L82*L$3+M82*M$3+N82*N$3+O82*O$3+P82*P$3+Q82*Q$3+R82*R$3+S82*S$3+T82*T$3+(U82-AF82)*U$3+V82+W82,0)</f>
        <v>24035</v>
      </c>
      <c r="Y82" s="12">
        <f t="shared" si="6"/>
        <v>23512</v>
      </c>
      <c r="Z82" s="12">
        <f t="shared" si="7"/>
        <v>523</v>
      </c>
      <c r="AA82" s="12">
        <v>32495</v>
      </c>
      <c r="AB82" s="12">
        <f t="shared" si="8"/>
        <v>-8460</v>
      </c>
      <c r="AC82" s="9">
        <v>39</v>
      </c>
      <c r="AD82" s="9">
        <v>0</v>
      </c>
      <c r="AE82" s="9">
        <v>0</v>
      </c>
      <c r="AF82" s="9">
        <v>563</v>
      </c>
    </row>
    <row r="83" spans="1:32" x14ac:dyDescent="0.25">
      <c r="A83" s="241" t="s">
        <v>512</v>
      </c>
      <c r="B83" s="241"/>
      <c r="C83" s="84">
        <f>SUM(C4:C82)</f>
        <v>2284</v>
      </c>
      <c r="D83" s="84">
        <f>SUM(D4:D82)</f>
        <v>9304</v>
      </c>
      <c r="E83" s="84">
        <f>SUM(E4:E82)</f>
        <v>41</v>
      </c>
      <c r="F83" s="84">
        <f t="shared" ref="F83:W83" si="9">SUM(F4:F82)</f>
        <v>12907</v>
      </c>
      <c r="G83" s="84">
        <f t="shared" si="9"/>
        <v>2962</v>
      </c>
      <c r="H83" s="84">
        <f t="shared" si="9"/>
        <v>149</v>
      </c>
      <c r="I83" s="84">
        <f t="shared" si="9"/>
        <v>5376</v>
      </c>
      <c r="J83" s="84">
        <f t="shared" si="9"/>
        <v>1933</v>
      </c>
      <c r="K83" s="84">
        <f t="shared" si="9"/>
        <v>2118</v>
      </c>
      <c r="L83" s="84">
        <f t="shared" si="9"/>
        <v>22</v>
      </c>
      <c r="M83" s="84">
        <f t="shared" si="9"/>
        <v>392</v>
      </c>
      <c r="N83" s="84">
        <f t="shared" ref="N83:O83" si="10">SUM(N4:N82)</f>
        <v>8178</v>
      </c>
      <c r="O83" s="84">
        <f t="shared" si="10"/>
        <v>11005</v>
      </c>
      <c r="P83" s="84">
        <f t="shared" si="9"/>
        <v>8280</v>
      </c>
      <c r="Q83" s="84">
        <f t="shared" si="9"/>
        <v>4533</v>
      </c>
      <c r="R83" s="84">
        <f t="shared" si="9"/>
        <v>4</v>
      </c>
      <c r="S83" s="84">
        <f t="shared" si="9"/>
        <v>1187</v>
      </c>
      <c r="T83" s="84">
        <f t="shared" ref="T83" si="11">SUM(T4:T82)</f>
        <v>5486</v>
      </c>
      <c r="U83" s="84">
        <f t="shared" si="9"/>
        <v>33848</v>
      </c>
      <c r="V83" s="84">
        <f t="shared" si="9"/>
        <v>18600</v>
      </c>
      <c r="W83" s="84">
        <f t="shared" si="9"/>
        <v>88137</v>
      </c>
      <c r="X83" s="84">
        <f>SUM(X4:X82)</f>
        <v>1356489</v>
      </c>
      <c r="Y83" s="84">
        <f t="shared" ref="Y83:Z83" si="12">SUM(Y4:Y82)</f>
        <v>1326999</v>
      </c>
      <c r="Z83" s="84">
        <f t="shared" si="12"/>
        <v>29490</v>
      </c>
      <c r="AA83" s="84">
        <f>SUM(AA4:AA82)</f>
        <v>1424169</v>
      </c>
      <c r="AB83" s="84">
        <f>SUM(AB4:AB82)</f>
        <v>-67680</v>
      </c>
      <c r="AC83" s="84">
        <f t="shared" ref="AC83:AF83" si="13">SUM(AC4:AC82)</f>
        <v>10007</v>
      </c>
      <c r="AD83" s="84">
        <f t="shared" si="13"/>
        <v>924</v>
      </c>
      <c r="AE83" s="84">
        <f t="shared" si="13"/>
        <v>309</v>
      </c>
      <c r="AF83" s="84">
        <f t="shared" si="13"/>
        <v>20226</v>
      </c>
    </row>
    <row r="84" spans="1:32" x14ac:dyDescent="0.25">
      <c r="B84" s="1" t="s">
        <v>683</v>
      </c>
      <c r="C84" s="7">
        <f>C82+C77+C73+C70+C62+C59+C53+C47+C41+C35+C33+C29+C25+C22+C20+C18</f>
        <v>1621</v>
      </c>
      <c r="D84" s="7">
        <f>D82+D77+D73+D70+D62+D59+D53+D47+D41+D35+D33+D29+D25+D22+D20+D18</f>
        <v>5323</v>
      </c>
      <c r="E84" s="7">
        <f>E82+E77+E73+E70+E62+E59+E53+E47+E41+E35+E33+E29+E25+E22+E20+E18</f>
        <v>41</v>
      </c>
      <c r="F84" s="7">
        <f t="shared" ref="F84:V84" si="14">F82+F77+F73+F70+F62+F59+F53+F47+F41+F35+F33+F29+F25+F22+F20+F18</f>
        <v>12907</v>
      </c>
      <c r="G84" s="7">
        <f t="shared" si="14"/>
        <v>2689</v>
      </c>
      <c r="H84" s="7">
        <f t="shared" si="14"/>
        <v>149</v>
      </c>
      <c r="I84" s="7">
        <f t="shared" si="14"/>
        <v>5376</v>
      </c>
      <c r="J84" s="7">
        <f t="shared" si="14"/>
        <v>1933</v>
      </c>
      <c r="K84" s="7">
        <f t="shared" si="14"/>
        <v>2118</v>
      </c>
      <c r="L84" s="7">
        <f t="shared" si="14"/>
        <v>22</v>
      </c>
      <c r="M84" s="7">
        <f t="shared" si="14"/>
        <v>392</v>
      </c>
      <c r="N84" s="7">
        <f t="shared" ref="N84:O84" si="15">N82+N77+N73+N70+N62+N59+N53+N47+N41+N35+N33+N29+N25+N22+N20+N18</f>
        <v>8178</v>
      </c>
      <c r="O84" s="7">
        <f t="shared" si="15"/>
        <v>11005</v>
      </c>
      <c r="P84" s="7">
        <f t="shared" si="14"/>
        <v>8280</v>
      </c>
      <c r="Q84" s="7">
        <f t="shared" si="14"/>
        <v>4533</v>
      </c>
      <c r="R84" s="7">
        <f t="shared" si="14"/>
        <v>4</v>
      </c>
      <c r="S84" s="7">
        <f t="shared" si="14"/>
        <v>1187</v>
      </c>
      <c r="T84" s="7">
        <f t="shared" ref="T84" si="16">T82+T77+T73+T70+T62+T59+T53+T47+T41+T35+T33+T29+T25+T22+T20+T18</f>
        <v>5486</v>
      </c>
      <c r="U84" s="7">
        <f t="shared" si="14"/>
        <v>33848</v>
      </c>
      <c r="V84" s="7">
        <f t="shared" si="14"/>
        <v>18600</v>
      </c>
      <c r="W84" s="73" t="s">
        <v>775</v>
      </c>
      <c r="X84" s="7">
        <f>KOOND!T86</f>
        <v>1327000</v>
      </c>
      <c r="Y84" s="7">
        <f>KOOND!T86</f>
        <v>1327000</v>
      </c>
      <c r="Z84" s="7"/>
      <c r="AA84" s="7"/>
    </row>
    <row r="85" spans="1:32" x14ac:dyDescent="0.25">
      <c r="W85" s="1" t="s">
        <v>531</v>
      </c>
      <c r="X85" s="7">
        <f>X84-X83</f>
        <v>-29489</v>
      </c>
      <c r="Y85" s="7">
        <f>Y84-Y83</f>
        <v>1</v>
      </c>
      <c r="Z85" s="7"/>
      <c r="AA85" s="7"/>
    </row>
    <row r="87" spans="1:32" x14ac:dyDescent="0.25">
      <c r="V87" s="73" t="s">
        <v>512</v>
      </c>
      <c r="W87" s="132"/>
      <c r="X87" s="7"/>
      <c r="Y87" s="7"/>
      <c r="Z87" s="7"/>
    </row>
    <row r="88" spans="1:32" x14ac:dyDescent="0.25">
      <c r="B88" s="73" t="s">
        <v>722</v>
      </c>
      <c r="C88" s="7">
        <v>13520</v>
      </c>
      <c r="D88" s="7"/>
      <c r="E88" s="7">
        <v>15478</v>
      </c>
      <c r="F88" s="7">
        <v>6200</v>
      </c>
      <c r="G88" s="7">
        <v>3517</v>
      </c>
      <c r="H88" s="7">
        <v>328</v>
      </c>
      <c r="I88" s="7">
        <v>4984</v>
      </c>
      <c r="J88" s="7">
        <v>2285</v>
      </c>
      <c r="K88" s="7">
        <v>1437</v>
      </c>
      <c r="L88" s="7">
        <v>5</v>
      </c>
      <c r="M88" s="7">
        <v>560</v>
      </c>
      <c r="N88" s="7"/>
      <c r="O88" s="7"/>
      <c r="P88" s="7">
        <v>10660</v>
      </c>
      <c r="Q88" s="7">
        <v>4371</v>
      </c>
      <c r="R88" s="7">
        <v>0</v>
      </c>
      <c r="S88" s="7">
        <v>1228</v>
      </c>
      <c r="T88" s="7">
        <v>10660</v>
      </c>
      <c r="U88" s="7">
        <v>9840</v>
      </c>
      <c r="V88" s="7">
        <f>SUM(C88:U88)</f>
        <v>85073</v>
      </c>
    </row>
    <row r="89" spans="1:32" x14ac:dyDescent="0.25">
      <c r="B89" s="73" t="s">
        <v>721</v>
      </c>
      <c r="C89" s="7">
        <v>14270</v>
      </c>
      <c r="D89" s="7"/>
      <c r="E89" s="7">
        <v>15674</v>
      </c>
      <c r="F89" s="7">
        <v>13194</v>
      </c>
      <c r="G89" s="7">
        <v>3572</v>
      </c>
      <c r="H89" s="7">
        <v>275</v>
      </c>
      <c r="I89" s="7">
        <v>4775</v>
      </c>
      <c r="J89" s="7">
        <v>2139</v>
      </c>
      <c r="K89" s="7">
        <v>1469</v>
      </c>
      <c r="L89" s="7">
        <v>7</v>
      </c>
      <c r="M89" s="7">
        <v>552</v>
      </c>
      <c r="N89" s="7"/>
      <c r="O89" s="7"/>
      <c r="P89" s="7">
        <v>11264</v>
      </c>
      <c r="Q89" s="7">
        <v>3501</v>
      </c>
      <c r="R89" s="7">
        <v>546</v>
      </c>
      <c r="S89" s="7">
        <v>1133</v>
      </c>
      <c r="T89" s="7">
        <v>5075</v>
      </c>
      <c r="U89" s="7">
        <v>9702</v>
      </c>
      <c r="V89" s="7">
        <f t="shared" ref="V89:V93" si="17">SUM(C89:U89)</f>
        <v>87148</v>
      </c>
    </row>
    <row r="90" spans="1:32" x14ac:dyDescent="0.25">
      <c r="B90" s="73" t="s">
        <v>737</v>
      </c>
      <c r="C90" s="7">
        <v>13897</v>
      </c>
      <c r="D90" s="7"/>
      <c r="E90" s="7">
        <v>0</v>
      </c>
      <c r="F90" s="7">
        <v>15785</v>
      </c>
      <c r="G90" s="7">
        <v>3266</v>
      </c>
      <c r="H90" s="7">
        <v>220</v>
      </c>
      <c r="I90" s="7">
        <v>4868</v>
      </c>
      <c r="J90" s="7">
        <v>2064</v>
      </c>
      <c r="K90" s="7">
        <v>1704</v>
      </c>
      <c r="L90" s="7">
        <v>22</v>
      </c>
      <c r="M90" s="7">
        <v>460</v>
      </c>
      <c r="N90" s="7"/>
      <c r="O90" s="7"/>
      <c r="P90" s="7">
        <v>11416</v>
      </c>
      <c r="Q90" s="7">
        <v>3536</v>
      </c>
      <c r="R90" s="7">
        <v>440</v>
      </c>
      <c r="S90" s="7">
        <v>1135</v>
      </c>
      <c r="T90" s="7">
        <v>6294</v>
      </c>
      <c r="U90" s="7">
        <v>11220</v>
      </c>
      <c r="V90" s="7">
        <f t="shared" si="17"/>
        <v>76327</v>
      </c>
    </row>
    <row r="91" spans="1:32" x14ac:dyDescent="0.25">
      <c r="B91" s="1" t="s">
        <v>743</v>
      </c>
      <c r="C91" s="7">
        <v>13127</v>
      </c>
      <c r="D91" s="7"/>
      <c r="E91" s="7">
        <v>31</v>
      </c>
      <c r="F91" s="7">
        <v>2340</v>
      </c>
      <c r="G91" s="7">
        <v>3057</v>
      </c>
      <c r="H91" s="7">
        <v>215</v>
      </c>
      <c r="I91" s="7">
        <v>4588</v>
      </c>
      <c r="J91" s="7">
        <v>1982</v>
      </c>
      <c r="K91" s="7">
        <v>1519</v>
      </c>
      <c r="L91" s="7">
        <v>15</v>
      </c>
      <c r="M91" s="7">
        <v>407</v>
      </c>
      <c r="N91" s="7"/>
      <c r="O91" s="7"/>
      <c r="P91" s="7">
        <v>8726</v>
      </c>
      <c r="Q91" s="7">
        <v>4080</v>
      </c>
      <c r="R91" s="7">
        <v>7</v>
      </c>
      <c r="S91" s="7">
        <v>1300</v>
      </c>
      <c r="T91" s="7">
        <v>4805</v>
      </c>
      <c r="U91" s="7">
        <v>9570</v>
      </c>
      <c r="V91" s="7">
        <f t="shared" si="17"/>
        <v>55769</v>
      </c>
    </row>
    <row r="92" spans="1:32" x14ac:dyDescent="0.25">
      <c r="B92" s="1" t="s">
        <v>768</v>
      </c>
      <c r="C92" s="7">
        <v>13138</v>
      </c>
      <c r="D92" s="7"/>
      <c r="E92" s="7">
        <v>41</v>
      </c>
      <c r="F92" s="7">
        <v>2897</v>
      </c>
      <c r="G92" s="7">
        <v>3526</v>
      </c>
      <c r="H92" s="7">
        <v>190</v>
      </c>
      <c r="I92" s="7">
        <v>4821</v>
      </c>
      <c r="J92" s="7">
        <v>2015</v>
      </c>
      <c r="K92" s="7">
        <v>1739</v>
      </c>
      <c r="L92" s="7">
        <v>8</v>
      </c>
      <c r="M92" s="7">
        <v>362</v>
      </c>
      <c r="N92" s="7"/>
      <c r="O92" s="7"/>
      <c r="P92" s="7">
        <v>12953</v>
      </c>
      <c r="Q92" s="7">
        <v>4031</v>
      </c>
      <c r="R92" s="7">
        <v>20</v>
      </c>
      <c r="S92" s="7">
        <v>1442</v>
      </c>
      <c r="T92" s="7">
        <v>4481</v>
      </c>
      <c r="U92" s="7">
        <v>11774</v>
      </c>
      <c r="V92" s="7">
        <f t="shared" si="17"/>
        <v>63438</v>
      </c>
    </row>
    <row r="93" spans="1:32" x14ac:dyDescent="0.25">
      <c r="B93" s="1" t="s">
        <v>796</v>
      </c>
      <c r="C93" s="7">
        <f t="shared" ref="C93:U93" si="18">C83</f>
        <v>2284</v>
      </c>
      <c r="D93" s="7">
        <f t="shared" si="18"/>
        <v>9304</v>
      </c>
      <c r="E93" s="7">
        <f t="shared" si="18"/>
        <v>41</v>
      </c>
      <c r="F93" s="7">
        <f t="shared" si="18"/>
        <v>12907</v>
      </c>
      <c r="G93" s="7">
        <f t="shared" si="18"/>
        <v>2962</v>
      </c>
      <c r="H93" s="7">
        <f t="shared" si="18"/>
        <v>149</v>
      </c>
      <c r="I93" s="7">
        <f t="shared" si="18"/>
        <v>5376</v>
      </c>
      <c r="J93" s="7">
        <f t="shared" si="18"/>
        <v>1933</v>
      </c>
      <c r="K93" s="7">
        <f t="shared" si="18"/>
        <v>2118</v>
      </c>
      <c r="L93" s="7">
        <f t="shared" si="18"/>
        <v>22</v>
      </c>
      <c r="M93" s="7">
        <f t="shared" si="18"/>
        <v>392</v>
      </c>
      <c r="N93" s="7">
        <f t="shared" si="18"/>
        <v>8178</v>
      </c>
      <c r="O93" s="7">
        <f t="shared" si="18"/>
        <v>11005</v>
      </c>
      <c r="P93" s="7">
        <f t="shared" si="18"/>
        <v>8280</v>
      </c>
      <c r="Q93" s="7">
        <f t="shared" si="18"/>
        <v>4533</v>
      </c>
      <c r="R93" s="7">
        <f t="shared" si="18"/>
        <v>4</v>
      </c>
      <c r="S93" s="7">
        <f t="shared" si="18"/>
        <v>1187</v>
      </c>
      <c r="T93" s="7">
        <f t="shared" si="18"/>
        <v>5486</v>
      </c>
      <c r="U93" s="7">
        <f t="shared" si="18"/>
        <v>33848</v>
      </c>
      <c r="V93" s="7">
        <f t="shared" si="17"/>
        <v>110009</v>
      </c>
    </row>
    <row r="94" spans="1:32" x14ac:dyDescent="0.25">
      <c r="B94" s="1" t="s">
        <v>564</v>
      </c>
      <c r="C94" s="113">
        <f>C93/C92-1</f>
        <v>-0.82615314355305225</v>
      </c>
      <c r="D94" s="113"/>
      <c r="E94" s="113">
        <f t="shared" ref="E94:V94" si="19">E93/E92-1</f>
        <v>0</v>
      </c>
      <c r="F94" s="113">
        <f t="shared" si="19"/>
        <v>3.4552985847428372</v>
      </c>
      <c r="G94" s="113">
        <f t="shared" si="19"/>
        <v>-0.15995462280204198</v>
      </c>
      <c r="H94" s="113">
        <f t="shared" si="19"/>
        <v>-0.21578947368421053</v>
      </c>
      <c r="I94" s="113">
        <f t="shared" si="19"/>
        <v>0.11512134411947739</v>
      </c>
      <c r="J94" s="113">
        <f t="shared" si="19"/>
        <v>-4.069478908188584E-2</v>
      </c>
      <c r="K94" s="113">
        <f t="shared" si="19"/>
        <v>0.21794134560092004</v>
      </c>
      <c r="L94" s="113">
        <f t="shared" si="19"/>
        <v>1.75</v>
      </c>
      <c r="M94" s="113">
        <f t="shared" si="19"/>
        <v>8.287292817679548E-2</v>
      </c>
      <c r="N94" s="113"/>
      <c r="O94" s="113"/>
      <c r="P94" s="113">
        <f t="shared" si="19"/>
        <v>-0.36076584575001935</v>
      </c>
      <c r="Q94" s="113">
        <f t="shared" si="19"/>
        <v>0.12453485487472093</v>
      </c>
      <c r="R94" s="113">
        <f t="shared" si="19"/>
        <v>-0.8</v>
      </c>
      <c r="S94" s="113">
        <f t="shared" si="19"/>
        <v>-0.17683772538141473</v>
      </c>
      <c r="T94" s="113">
        <f t="shared" si="19"/>
        <v>0.22428029457710341</v>
      </c>
      <c r="U94" s="113">
        <f t="shared" si="19"/>
        <v>1.8748089009682349</v>
      </c>
      <c r="V94" s="113">
        <f t="shared" si="19"/>
        <v>0.73411835177653773</v>
      </c>
    </row>
  </sheetData>
  <mergeCells count="16">
    <mergeCell ref="AC1:AF1"/>
    <mergeCell ref="A83:B83"/>
    <mergeCell ref="AA1:AA3"/>
    <mergeCell ref="AB1:AB3"/>
    <mergeCell ref="A1:A3"/>
    <mergeCell ref="B1:B3"/>
    <mergeCell ref="X1:X3"/>
    <mergeCell ref="C1:U1"/>
    <mergeCell ref="V1:V3"/>
    <mergeCell ref="W1:W3"/>
    <mergeCell ref="AC2:AC3"/>
    <mergeCell ref="AD2:AD3"/>
    <mergeCell ref="AE2:AE3"/>
    <mergeCell ref="AF2:AF3"/>
    <mergeCell ref="Y1:Y3"/>
    <mergeCell ref="Z1:Z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16</vt:i4>
      </vt:variant>
    </vt:vector>
  </HeadingPairs>
  <TitlesOfParts>
    <vt:vector size="16" baseType="lpstr">
      <vt:lpstr>Üldharidus</vt:lpstr>
      <vt:lpstr>Huvitegevus</vt:lpstr>
      <vt:lpstr>Lasteaed</vt:lpstr>
      <vt:lpstr>Toimetulekutoetus</vt:lpstr>
      <vt:lpstr>Asendushooldus</vt:lpstr>
      <vt:lpstr>Matusetoetus</vt:lpstr>
      <vt:lpstr>Abivajadusega lapsed</vt:lpstr>
      <vt:lpstr>Pikaajaline hooldus</vt:lpstr>
      <vt:lpstr>Rahvastikutoimingud</vt:lpstr>
      <vt:lpstr>Kohalikud teed</vt:lpstr>
      <vt:lpstr>Üleantud teed</vt:lpstr>
      <vt:lpstr>Energiatoetus</vt:lpstr>
      <vt:lpstr>Tasandusfond</vt:lpstr>
      <vt:lpstr>KOOND</vt:lpstr>
      <vt:lpstr>lisa</vt:lpstr>
      <vt:lpstr>ühinemine</vt:lpstr>
    </vt:vector>
  </TitlesOfParts>
  <Company>RMV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 Jõgi</dc:creator>
  <cp:lastModifiedBy>Andrus Jõgi</cp:lastModifiedBy>
  <dcterms:created xsi:type="dcterms:W3CDTF">2017-08-23T06:01:03Z</dcterms:created>
  <dcterms:modified xsi:type="dcterms:W3CDTF">2023-06-02T08:31:32Z</dcterms:modified>
</cp:coreProperties>
</file>